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L:\Matt\Benchmark Development\PugetBench for Creators\"/>
    </mc:Choice>
  </mc:AlternateContent>
  <xr:revisionPtr revIDLastSave="0" documentId="13_ncr:1_{6124F5E2-94FF-4026-ABBB-E06DB0845550}" xr6:coauthVersionLast="47" xr6:coauthVersionMax="47" xr10:uidLastSave="{00000000-0000-0000-0000-000000000000}"/>
  <bookViews>
    <workbookView xWindow="-110" yWindow="-110" windowWidth="38620" windowHeight="21100" firstSheet="2" activeTab="7" xr2:uid="{00000000-000D-0000-FFFF-FFFF00000000}"/>
  </bookViews>
  <sheets>
    <sheet name="Photoshop 1.0.0" sheetId="5" r:id="rId1"/>
    <sheet name="Premiere Pro 2.0.0" sheetId="9" r:id="rId2"/>
    <sheet name="Premiere Pro 1.0.0" sheetId="6" r:id="rId3"/>
    <sheet name="After Effects 1.0.0" sheetId="8" r:id="rId4"/>
    <sheet name="Lightroom Classic 1.0.0" sheetId="7" r:id="rId5"/>
    <sheet name="DaVinci Resolve 2.0.0" sheetId="10" r:id="rId6"/>
    <sheet name="DaVinci Resolve 1.0.0" sheetId="1" r:id="rId7"/>
    <sheet name="Unreal Engine 0.0.9-dev" sheetId="1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11" l="1"/>
  <c r="H15" i="11" s="1"/>
  <c r="G14" i="11"/>
  <c r="H14" i="11" s="1"/>
  <c r="F16" i="11"/>
  <c r="G11" i="11" s="1"/>
  <c r="G12" i="11"/>
  <c r="G10" i="11"/>
  <c r="H10" i="11" s="1"/>
  <c r="G9" i="11"/>
  <c r="G7" i="11"/>
  <c r="H7" i="11" s="1"/>
  <c r="F28" i="11"/>
  <c r="F23" i="11"/>
  <c r="F38" i="11"/>
  <c r="F33" i="11"/>
  <c r="G17" i="1"/>
  <c r="H17" i="1" s="1"/>
  <c r="G19" i="10"/>
  <c r="G4" i="10"/>
  <c r="G22" i="10"/>
  <c r="G21" i="10"/>
  <c r="G20" i="10"/>
  <c r="G5" i="10"/>
  <c r="G6" i="10"/>
  <c r="G12" i="10"/>
  <c r="G11" i="10"/>
  <c r="G10" i="10"/>
  <c r="G9" i="10"/>
  <c r="G8" i="10"/>
  <c r="H8" i="10" s="1"/>
  <c r="G7" i="10"/>
  <c r="H7" i="10" s="1"/>
  <c r="H18" i="10"/>
  <c r="G18" i="10"/>
  <c r="G17" i="10"/>
  <c r="H17" i="10" s="1"/>
  <c r="G16" i="10"/>
  <c r="H16" i="10" s="1"/>
  <c r="G15" i="10"/>
  <c r="H15" i="10" s="1"/>
  <c r="G14" i="10"/>
  <c r="H14" i="10"/>
  <c r="G13" i="10"/>
  <c r="H13" i="10" s="1"/>
  <c r="H11" i="10"/>
  <c r="H10" i="10"/>
  <c r="G9" i="9"/>
  <c r="G8" i="9"/>
  <c r="H8" i="9" s="1"/>
  <c r="G7" i="9"/>
  <c r="H7" i="9" s="1"/>
  <c r="G6" i="9"/>
  <c r="G13" i="9"/>
  <c r="G11" i="9"/>
  <c r="H11" i="9" s="1"/>
  <c r="G12" i="9"/>
  <c r="H12" i="9" s="1"/>
  <c r="H13" i="9"/>
  <c r="G10" i="9"/>
  <c r="H10" i="9" s="1"/>
  <c r="H9" i="9"/>
  <c r="H6" i="9"/>
  <c r="L7" i="7"/>
  <c r="L8" i="7" s="1"/>
  <c r="G16" i="1"/>
  <c r="H8" i="8"/>
  <c r="H6" i="8"/>
  <c r="H7" i="8"/>
  <c r="I7" i="8" s="1"/>
  <c r="H10" i="8"/>
  <c r="I10" i="8" s="1"/>
  <c r="H9" i="8"/>
  <c r="H11" i="8"/>
  <c r="I11" i="8" s="1"/>
  <c r="K7" i="8"/>
  <c r="K8" i="8"/>
  <c r="K9" i="8"/>
  <c r="K10" i="8"/>
  <c r="K11" i="8"/>
  <c r="G27" i="8"/>
  <c r="G26" i="8"/>
  <c r="G25" i="8"/>
  <c r="G24" i="8"/>
  <c r="G23" i="8"/>
  <c r="G22" i="8"/>
  <c r="G21" i="8"/>
  <c r="G20" i="8"/>
  <c r="G19" i="8"/>
  <c r="G18" i="8"/>
  <c r="G17" i="8"/>
  <c r="G16" i="8"/>
  <c r="G15" i="8"/>
  <c r="G14" i="8"/>
  <c r="G13" i="8"/>
  <c r="G12" i="8"/>
  <c r="K6" i="8"/>
  <c r="K5" i="8"/>
  <c r="K4" i="8"/>
  <c r="K7" i="7"/>
  <c r="K8" i="7"/>
  <c r="K9" i="7"/>
  <c r="K10" i="7"/>
  <c r="K11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K6" i="7"/>
  <c r="K5" i="7"/>
  <c r="K4" i="7"/>
  <c r="G15" i="1"/>
  <c r="G14" i="1"/>
  <c r="G13" i="1"/>
  <c r="G12" i="1"/>
  <c r="G11" i="1"/>
  <c r="H11" i="1" s="1"/>
  <c r="G10" i="1"/>
  <c r="H10" i="1" s="1"/>
  <c r="G9" i="1"/>
  <c r="H9" i="1" s="1"/>
  <c r="G8" i="1"/>
  <c r="H8" i="1" s="1"/>
  <c r="G7" i="1"/>
  <c r="G21" i="1"/>
  <c r="G20" i="1"/>
  <c r="G19" i="1"/>
  <c r="G18" i="1"/>
  <c r="G13" i="6"/>
  <c r="H13" i="6" s="1"/>
  <c r="G12" i="6"/>
  <c r="H12" i="6" s="1"/>
  <c r="G11" i="6"/>
  <c r="H11" i="6" s="1"/>
  <c r="G10" i="6"/>
  <c r="H10" i="6" s="1"/>
  <c r="G9" i="6"/>
  <c r="H9" i="6" s="1"/>
  <c r="G8" i="6"/>
  <c r="H8" i="6" s="1"/>
  <c r="G7" i="6"/>
  <c r="G6" i="6"/>
  <c r="H6" i="6" s="1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K5" i="5"/>
  <c r="K6" i="5"/>
  <c r="K4" i="5"/>
  <c r="G13" i="11" l="1"/>
  <c r="H13" i="11" s="1"/>
  <c r="G6" i="11"/>
  <c r="H6" i="11" s="1"/>
  <c r="G8" i="11"/>
  <c r="H8" i="11" s="1"/>
  <c r="H11" i="11"/>
  <c r="H9" i="11"/>
  <c r="H12" i="11"/>
  <c r="H4" i="10"/>
  <c r="H6" i="10"/>
  <c r="H5" i="10"/>
  <c r="H9" i="10"/>
  <c r="H12" i="10"/>
  <c r="G4" i="9"/>
  <c r="H4" i="9" s="1"/>
  <c r="G5" i="9"/>
  <c r="H5" i="9" s="1"/>
  <c r="H10" i="7"/>
  <c r="H12" i="7"/>
  <c r="I12" i="7" s="1"/>
  <c r="H8" i="7"/>
  <c r="I8" i="7" s="1"/>
  <c r="H11" i="7"/>
  <c r="H7" i="7"/>
  <c r="I7" i="7" s="1"/>
  <c r="H6" i="7"/>
  <c r="I6" i="7" s="1"/>
  <c r="H9" i="7"/>
  <c r="L9" i="7"/>
  <c r="L10" i="7"/>
  <c r="H5" i="8"/>
  <c r="H4" i="8"/>
  <c r="I8" i="8"/>
  <c r="I6" i="8"/>
  <c r="I9" i="8"/>
  <c r="G5" i="6"/>
  <c r="H5" i="6" s="1"/>
  <c r="G5" i="1"/>
  <c r="H5" i="1" s="1"/>
  <c r="G4" i="1"/>
  <c r="G6" i="1"/>
  <c r="H7" i="1"/>
  <c r="H5" i="5"/>
  <c r="I5" i="5" s="1"/>
  <c r="H6" i="5"/>
  <c r="I6" i="5" s="1"/>
  <c r="H7" i="6"/>
  <c r="H13" i="1"/>
  <c r="H14" i="1"/>
  <c r="H15" i="1"/>
  <c r="H16" i="1"/>
  <c r="G4" i="11" l="1"/>
  <c r="H4" i="11" s="1"/>
  <c r="G5" i="11"/>
  <c r="H5" i="11" s="1"/>
  <c r="H5" i="7"/>
  <c r="H4" i="7"/>
  <c r="I4" i="7" s="1"/>
  <c r="I9" i="7"/>
  <c r="I10" i="7"/>
  <c r="L11" i="7"/>
  <c r="I11" i="7" s="1"/>
  <c r="I4" i="8"/>
  <c r="I5" i="8"/>
  <c r="H6" i="1"/>
  <c r="H12" i="1"/>
  <c r="G4" i="6"/>
  <c r="H4" i="6" s="1"/>
  <c r="H4" i="1"/>
  <c r="H4" i="5"/>
  <c r="I4" i="5" s="1"/>
  <c r="I5" i="7" l="1"/>
</calcChain>
</file>

<file path=xl/sharedStrings.xml><?xml version="1.0" encoding="utf-8"?>
<sst xmlns="http://schemas.openxmlformats.org/spreadsheetml/2006/main" count="1267" uniqueCount="261">
  <si>
    <t>Test</t>
  </si>
  <si>
    <t>Setting</t>
  </si>
  <si>
    <t>Units</t>
  </si>
  <si>
    <t>Overall Score (Standard)</t>
  </si>
  <si>
    <t>Overall Score (Extended)</t>
  </si>
  <si>
    <t>LongGOP Score (Standard)</t>
  </si>
  <si>
    <t>LongGOP</t>
  </si>
  <si>
    <t>Intraframe Score (Standard)</t>
  </si>
  <si>
    <t>Intraframe</t>
  </si>
  <si>
    <t>RAW Score (Standard)</t>
  </si>
  <si>
    <t>RAW</t>
  </si>
  <si>
    <t>GPU Effects Score (Standard)</t>
  </si>
  <si>
    <t>GPU Effects</t>
  </si>
  <si>
    <t>LongGOP Score (Extended)</t>
  </si>
  <si>
    <t>Intraframe Score (Extended)</t>
  </si>
  <si>
    <t>RAW Score (Extended)</t>
  </si>
  <si>
    <t>GPU Effects Score (Extended)</t>
  </si>
  <si>
    <t>fps</t>
  </si>
  <si>
    <t>Encoding - DNxHR LB UHD</t>
  </si>
  <si>
    <t>Encoding - DNxHR SQ UHD</t>
  </si>
  <si>
    <t>Encoding - DNxHR HQX UHD</t>
  </si>
  <si>
    <t>Processing - 4K ProRes 422 Proxy</t>
  </si>
  <si>
    <t>Processing - 4K ProRes 422</t>
  </si>
  <si>
    <t>Processing - 4K DNxHR LB</t>
  </si>
  <si>
    <t>Processing - 4K Cinema RAW Light ST</t>
  </si>
  <si>
    <t>Processing - 4K RED</t>
  </si>
  <si>
    <t>Processing - 8K RED</t>
  </si>
  <si>
    <t>Benchmark Results:</t>
  </si>
  <si>
    <t>Processing - 4K DNxHR SQ</t>
  </si>
  <si>
    <t>Result</t>
  </si>
  <si>
    <t>Overall Score (Basic)</t>
  </si>
  <si>
    <t>Fusion Score (Standard)</t>
  </si>
  <si>
    <t>Fusion</t>
  </si>
  <si>
    <t>Fusion Score (Extended)</t>
  </si>
  <si>
    <t>AI Score (Extended)</t>
  </si>
  <si>
    <t>AI</t>
  </si>
  <si>
    <t>Processing - 4K H.264 150Mbps 420 8-bit</t>
  </si>
  <si>
    <t>Processing - 4K HEVC 100Mbps 422 10-bit</t>
  </si>
  <si>
    <t>Processing - 8K HEVC 100Mbps 420 8-bit</t>
  </si>
  <si>
    <t>Processing - 4K ARRIRAW</t>
  </si>
  <si>
    <t>Processing - 5K Sony X-OCN</t>
  </si>
  <si>
    <t>Processing - 4.6K BRAW</t>
  </si>
  <si>
    <t>GPU Effects - Temporal NR (2 Frames Better) x3</t>
  </si>
  <si>
    <t>GPU Effects - Temporal NR (2 Frames Better)</t>
  </si>
  <si>
    <t>GPU Effects - Film Grain</t>
  </si>
  <si>
    <t>GPU Effects - Spatial NR (Better)</t>
  </si>
  <si>
    <t>GPU Effects - Lens Blur x5</t>
  </si>
  <si>
    <t>GPU Effects - Lens Flare</t>
  </si>
  <si>
    <t>GPU Effects - Optical Flow (50% Enhanced Better)</t>
  </si>
  <si>
    <t>GPU Effects - Sharpen x3</t>
  </si>
  <si>
    <t>GPU Effects - Color Node x30</t>
  </si>
  <si>
    <t>Fusion - 3D Backlit Text</t>
  </si>
  <si>
    <t>Fusion - 3D Lower 3rd</t>
  </si>
  <si>
    <t>Fusion - 3D Title</t>
  </si>
  <si>
    <t>Fusion - Digital Glitch</t>
  </si>
  <si>
    <t>Fusion - Phone Composite UHD</t>
  </si>
  <si>
    <t>Fusion - Turbulant Particles</t>
  </si>
  <si>
    <t>AI - Super Scale (2x Medium)</t>
  </si>
  <si>
    <t>AI - Face Refinement</t>
  </si>
  <si>
    <t>AI - Person Mask (Faster)</t>
  </si>
  <si>
    <t>AI - Person Mask (Better)</t>
  </si>
  <si>
    <t>AI - Depth Map (Faster)</t>
  </si>
  <si>
    <t>AI - Depth Map (Better)</t>
  </si>
  <si>
    <t>AI - Relight</t>
  </si>
  <si>
    <t>AI - Optical Flow (50% Speed Warp)</t>
  </si>
  <si>
    <t>AI RunTime - Audio Transcription</t>
  </si>
  <si>
    <t>x-realtime</t>
  </si>
  <si>
    <t>AI RunTime - Video Stabilization</t>
  </si>
  <si>
    <t>AI RunTime - Smart Reframe</t>
  </si>
  <si>
    <t>AI RunTime - Magic Mask Tracking (Faster)</t>
  </si>
  <si>
    <t>AI RunTime - Magic Mask Tracking (Better)</t>
  </si>
  <si>
    <t>AI RunTime - Create Subtitles from Audio</t>
  </si>
  <si>
    <t>AI RunTime - Scene Cut Detection</t>
  </si>
  <si>
    <t>Standard/Extended</t>
  </si>
  <si>
    <t>Basic/Standard/Extended</t>
  </si>
  <si>
    <t>Extended</t>
  </si>
  <si>
    <t>LongGOP Score (Basic)</t>
  </si>
  <si>
    <t>Intraframe Score (Basic)</t>
  </si>
  <si>
    <t>RAW Score (Basic)</t>
  </si>
  <si>
    <t>Fusion Score (Basic)</t>
  </si>
  <si>
    <t>Not logged</t>
  </si>
  <si>
    <t>Encoding - HEVC 60Mbps 10-bit UHD</t>
  </si>
  <si>
    <t>Encoding - H.264 50Mbps 8-bit UHD</t>
  </si>
  <si>
    <t>Encoding - HEVC 50Mbps 8-bit UHD</t>
  </si>
  <si>
    <t>Calculated Score</t>
  </si>
  <si>
    <t>General Score (Standard)</t>
  </si>
  <si>
    <t>General</t>
  </si>
  <si>
    <t>Filter Score (Standard)</t>
  </si>
  <si>
    <t>Filter</t>
  </si>
  <si>
    <t>File Open - RAW</t>
  </si>
  <si>
    <t>Resize to 150MP - Preserve Details</t>
  </si>
  <si>
    <t>Resize to 150MP - Bicubic Smooth</t>
  </si>
  <si>
    <t>Rotate</t>
  </si>
  <si>
    <t>Select Subject</t>
  </si>
  <si>
    <t>Select and Mask</t>
  </si>
  <si>
    <t>Convert to Smart Object</t>
  </si>
  <si>
    <t>Paint Bucket</t>
  </si>
  <si>
    <t>Smudge Tool</t>
  </si>
  <si>
    <t>Adaptive Wide Angle</t>
  </si>
  <si>
    <t>Camera Raw</t>
  </si>
  <si>
    <t>Lens Correction</t>
  </si>
  <si>
    <t>Content Aware Fill</t>
  </si>
  <si>
    <t>Reduce Noise</t>
  </si>
  <si>
    <t>Smart Sharpen</t>
  </si>
  <si>
    <t>Iris Blur</t>
  </si>
  <si>
    <t>Field Blur</t>
  </si>
  <si>
    <t>File Save - JPG</t>
  </si>
  <si>
    <t>File Save - PNG</t>
  </si>
  <si>
    <t>File Save - PSD</t>
  </si>
  <si>
    <t>File Open - PSD</t>
  </si>
  <si>
    <t>Weight</t>
  </si>
  <si>
    <t>seconds</t>
  </si>
  <si>
    <t>Encoding - H.264 50Mbps 8-bit (Software Encoding) UHD</t>
  </si>
  <si>
    <t>Encoding - HEVC 50Mbps 8-bit (Software Encoding) UHD</t>
  </si>
  <si>
    <t>Encoding - HEVC 60Mbps 10-bit (Software Encoding) UHD</t>
  </si>
  <si>
    <t>Encoding - ProRes 422 Proxy UHD</t>
  </si>
  <si>
    <t>Encoding - ProRes 422HQ UHD</t>
  </si>
  <si>
    <t>Encoding - ProRes 4444 UHD</t>
  </si>
  <si>
    <t>Processing - 4K H.264 150Mbps 4:2:0 8-bit</t>
  </si>
  <si>
    <t>Processing - 4K HEVC 100Mbps 4:2:2 10-bit</t>
  </si>
  <si>
    <t>Processing - 8K HEVC 100Mbps 4:2:0 8-bit</t>
  </si>
  <si>
    <t>Processing - ARRIRAW</t>
  </si>
  <si>
    <t>Processing - Sony X-OCN ST</t>
  </si>
  <si>
    <t>GPU Effects - Lumetri Color x40</t>
  </si>
  <si>
    <t>GPU Effects - Gaussian Blur x40</t>
  </si>
  <si>
    <t>GPU Effects - Sharpen x40</t>
  </si>
  <si>
    <t>GPU Effects - VR Digital Glitch x20</t>
  </si>
  <si>
    <t>GPU Effects - VR De-Noise x4</t>
  </si>
  <si>
    <t>Difference</t>
  </si>
  <si>
    <t>Overall</t>
  </si>
  <si>
    <t>IntraFrame</t>
  </si>
  <si>
    <t>Canon Score (Standard)</t>
  </si>
  <si>
    <t>Canon</t>
  </si>
  <si>
    <t>Sony</t>
  </si>
  <si>
    <t>Canon Score (Extended)</t>
  </si>
  <si>
    <t>Sony Score (Extended)</t>
  </si>
  <si>
    <t>Nikon Score (Extended)</t>
  </si>
  <si>
    <t>Nikon</t>
  </si>
  <si>
    <t>Create 100 Smart Previews - Canon</t>
  </si>
  <si>
    <t>Create 100 Smart Previews - Sony</t>
  </si>
  <si>
    <t>Create 100 Smart Previews - Nikon</t>
  </si>
  <si>
    <t>Export 100 JPG - Canon</t>
  </si>
  <si>
    <t>Export 100 JPG - Sony</t>
  </si>
  <si>
    <t>Export 100 JPG - Nikon</t>
  </si>
  <si>
    <t>Export 100 DNG - Canon</t>
  </si>
  <si>
    <t>Export 100 DNG - Sony</t>
  </si>
  <si>
    <t>Export 100 DNG - Nikon</t>
  </si>
  <si>
    <t>2D Score (Standard)</t>
  </si>
  <si>
    <t>2D</t>
  </si>
  <si>
    <t>3D Score (Standard)</t>
  </si>
  <si>
    <t>3D</t>
  </si>
  <si>
    <t>Tracking Score (Standard)</t>
  </si>
  <si>
    <t>Tracking</t>
  </si>
  <si>
    <t>2D Score (Extended)</t>
  </si>
  <si>
    <t>3D Score (Extended)</t>
  </si>
  <si>
    <t>Tracking Score (Extended)</t>
  </si>
  <si>
    <t>Render - Skater</t>
  </si>
  <si>
    <t>Render - Behaviors Animation Presets</t>
  </si>
  <si>
    <t>Render - Phone Composite</t>
  </si>
  <si>
    <t>Render - Realistic Rain</t>
  </si>
  <si>
    <t>Render - Glitch</t>
  </si>
  <si>
    <t>Render - Wolverito</t>
  </si>
  <si>
    <t>Render - Shapes Animation Presets</t>
  </si>
  <si>
    <t>Render - Cloud Lightning</t>
  </si>
  <si>
    <t>Render - Pulse</t>
  </si>
  <si>
    <t>Render - 3D Simple Text</t>
  </si>
  <si>
    <t>Render - 3D Depth</t>
  </si>
  <si>
    <t>Render - 3D Camera Explode</t>
  </si>
  <si>
    <t>Render - 3D Solar System</t>
  </si>
  <si>
    <t>Tracking - Roto Brush 3.0</t>
  </si>
  <si>
    <t>Tracking - Warp Stabilize</t>
  </si>
  <si>
    <t>Tracking - 3D Camera Tracker</t>
  </si>
  <si>
    <t>Inverse</t>
  </si>
  <si>
    <t>Preset</t>
  </si>
  <si>
    <t>Panasonic Score (Standard)</t>
  </si>
  <si>
    <t>Panasonic</t>
  </si>
  <si>
    <t>Panasonic Score (Extended)</t>
  </si>
  <si>
    <t>Import 250 Photos - Canon</t>
  </si>
  <si>
    <t>Import 250 Photos - Panasonic</t>
  </si>
  <si>
    <t>Create 100 Smart Previews - Panasonic</t>
  </si>
  <si>
    <t>Export 100 JPG - Panasonic</t>
  </si>
  <si>
    <t>Export 100 DNG - Panasonic</t>
  </si>
  <si>
    <t>Import 250 Photos - Sony</t>
  </si>
  <si>
    <t>Import 250 Photos - Nikon</t>
  </si>
  <si>
    <t>Select Sky (4 image average)</t>
  </si>
  <si>
    <t>Select Subject (4 image average)</t>
  </si>
  <si>
    <t>Reflection Removal (4 image average)</t>
  </si>
  <si>
    <t>Denoise (4 image average)</t>
  </si>
  <si>
    <t>Enhanced Details (4 image average)</t>
  </si>
  <si>
    <t>Super Resolution (4 image average)</t>
  </si>
  <si>
    <t>Standard</t>
  </si>
  <si>
    <t>Encoding - H.264 10Mbps 8-bit HD</t>
  </si>
  <si>
    <t>Processing - 4K H.264 150Mbps 4:2:0 8-bit 4x MultiStream</t>
  </si>
  <si>
    <t>Processing - 4K HEVC 100Mbps 4:2:2 10-bit 4x MultiStream</t>
  </si>
  <si>
    <t>Processing - 4K ProRes 422 4x MultiStream</t>
  </si>
  <si>
    <t>Processing - 4K Canon Cinema RAW Light</t>
  </si>
  <si>
    <t>Processing - 4K Nikon N-RAW</t>
  </si>
  <si>
    <t>Processing - 5K Sony X-OCN ST</t>
  </si>
  <si>
    <t>Processing - 4K RED R3D</t>
  </si>
  <si>
    <t>Processing - 4K RED R3D 4x MultiStream</t>
  </si>
  <si>
    <t>Processing - 8K RED R3D</t>
  </si>
  <si>
    <t>Real World - YouTube Gamer</t>
  </si>
  <si>
    <t>Real World - Behind the Scenes</t>
  </si>
  <si>
    <t>Real World - Behind the Scenes (ProRes)</t>
  </si>
  <si>
    <t>GPU Effects - Echo Glow x3</t>
  </si>
  <si>
    <t>GPU Effects - Bokeh Blur x2</t>
  </si>
  <si>
    <t>GPU Effects - Edge Glow x3</t>
  </si>
  <si>
    <t>GPU Effects - Wonder Glow x3</t>
  </si>
  <si>
    <t>AI Score (Standard)</t>
  </si>
  <si>
    <t>Encoding - ProRes 422 HQ UHD</t>
  </si>
  <si>
    <t>Processing - 4K H.264 150Mbps 420 8-bit 4x MultiStream</t>
  </si>
  <si>
    <t>Processing - 4K HEVC 100Mbps 422 10-bit 4x MultiStream</t>
  </si>
  <si>
    <t>AI Render - Super Scale (2x)</t>
  </si>
  <si>
    <t>AI Render - Super Scale (2x Enhanced)</t>
  </si>
  <si>
    <t>AI Render - Depth Map v2 (Faster)</t>
  </si>
  <si>
    <t>AI Render - Depth Map v2 (Better)</t>
  </si>
  <si>
    <t>AI Render - Optical Flow (50% Speed Warp)</t>
  </si>
  <si>
    <t>AI Render - Face Refinement v2</t>
  </si>
  <si>
    <t>AI Render - Relight</t>
  </si>
  <si>
    <t>AI RunTime - Magic Mask v2 Tracking (Faster)</t>
  </si>
  <si>
    <t>AI RunTime - Magic Mask v2 Tracking (Better)</t>
  </si>
  <si>
    <t>Compile Shaders Score (Standard)</t>
  </si>
  <si>
    <t>Compile Shaders</t>
  </si>
  <si>
    <t>Runtime Simulation Score (Standard)</t>
  </si>
  <si>
    <t>Runtime Simulation</t>
  </si>
  <si>
    <t>Asset and Scene Initialization Score (Standard)</t>
  </si>
  <si>
    <t>Asset and Scene Initialization</t>
  </si>
  <si>
    <t>Movie Render Score (Standard)</t>
  </si>
  <si>
    <t>Movie Render</t>
  </si>
  <si>
    <t>Editor Runtime Score (Standard)</t>
  </si>
  <si>
    <t>Editor Runtime</t>
  </si>
  <si>
    <t>Compile Shaders Score (Extended)</t>
  </si>
  <si>
    <t>Runtime Simulation Score (Extended)</t>
  </si>
  <si>
    <t>Asset and Scene Initialization Score (Extended)</t>
  </si>
  <si>
    <t>Movie Render Score (Extended)</t>
  </si>
  <si>
    <t>Editor Runtime Score (Extended)</t>
  </si>
  <si>
    <t>Compile Shaders - Main Project</t>
  </si>
  <si>
    <t>Level Asset Preparation - PCG Forest</t>
  </si>
  <si>
    <t>Play in Editor - PCG Forest (HD)</t>
  </si>
  <si>
    <t>Play in Editor - PCG Forest (UHD)</t>
  </si>
  <si>
    <t>Level Asset Preparation - Namaqualand</t>
  </si>
  <si>
    <t>Play in Editor - Namaqualand (HD)</t>
  </si>
  <si>
    <t>Play in Editor - Namaqualand (UHD)</t>
  </si>
  <si>
    <t>Level Asset Preparation - 4004 Moore Lane</t>
  </si>
  <si>
    <t>Play in Editor - 4004 Moore Lane (HD)</t>
  </si>
  <si>
    <t>Play in Editor - 4004 Moore Lane (UHD)</t>
  </si>
  <si>
    <t>Level Asset Preparation - MetaHuman</t>
  </si>
  <si>
    <t>Play in Editor - MetaHuman (HD)</t>
  </si>
  <si>
    <t>Play in Editor - MetaHuman (UHD)</t>
  </si>
  <si>
    <t>Runtime Simulation - Chaos Collision</t>
  </si>
  <si>
    <t>Runtime Simulation - Chaos Cloth</t>
  </si>
  <si>
    <t>Runtime Simulation - Chaos Destruction</t>
  </si>
  <si>
    <t>Runtime Simulation - Niagara Particle Scalability</t>
  </si>
  <si>
    <t>Runtime Simulation - Niagara Smoke</t>
  </si>
  <si>
    <t>Runtime Simulation - Niagara Water</t>
  </si>
  <si>
    <t>Render Movie - PCG Forest (HD)</t>
  </si>
  <si>
    <t>Render Movie - PCG Forest (UHD)</t>
  </si>
  <si>
    <t>Render Movie - Namaqualand (HD)</t>
  </si>
  <si>
    <t>Render Movie - Namaqualand (UHD)</t>
  </si>
  <si>
    <t>Render Movie - 4004 Moore Lane (UHD)</t>
  </si>
  <si>
    <t>Render Movie - 4004 Moore Lane (UHD) Path Traced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</si>
</sst>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i/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EB9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0" fontId="3" fillId="5" borderId="0" applyNumberFormat="0" applyBorder="0" applyAlignment="0" applyProtection="0"/>
    <xf numFmtId="0" fontId="4" fillId="6" borderId="1" applyNumberFormat="0" applyAlignment="0" applyProtection="0"/>
    <xf numFmtId="0" fontId="6" fillId="7" borderId="0" applyNumberFormat="0" applyBorder="0" applyAlignment="0" applyProtection="0"/>
  </cellStyleXfs>
  <cellXfs count="23">
    <xf numFmtId="0" fontId="0" fillId="0" borderId="0" xfId="0"/>
    <xf numFmtId="1" fontId="0" fillId="0" borderId="0" xfId="0" applyNumberFormat="1"/>
    <xf numFmtId="2" fontId="0" fillId="0" borderId="0" xfId="0" applyNumberFormat="1"/>
    <xf numFmtId="2" fontId="1" fillId="0" borderId="0" xfId="0" applyNumberFormat="1" applyFont="1"/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164" fontId="4" fillId="6" borderId="1" xfId="3" applyNumberFormat="1"/>
    <xf numFmtId="9" fontId="0" fillId="0" borderId="0" xfId="1" applyFont="1"/>
    <xf numFmtId="0" fontId="4" fillId="6" borderId="1" xfId="3"/>
    <xf numFmtId="1" fontId="4" fillId="6" borderId="1" xfId="3" applyNumberFormat="1"/>
    <xf numFmtId="165" fontId="4" fillId="6" borderId="1" xfId="3" applyNumberFormat="1"/>
    <xf numFmtId="0" fontId="0" fillId="8" borderId="0" xfId="0" applyFill="1"/>
    <xf numFmtId="0" fontId="3" fillId="8" borderId="0" xfId="2" applyFill="1"/>
    <xf numFmtId="0" fontId="5" fillId="8" borderId="0" xfId="2" applyFont="1" applyFill="1"/>
    <xf numFmtId="1" fontId="6" fillId="7" borderId="0" xfId="4" applyNumberFormat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0" borderId="0" xfId="1" applyNumberFormat="1" applyFont="1"/>
    <xf numFmtId="0" fontId="0" fillId="13" borderId="0" xfId="0" applyFill="1"/>
  </cellXfs>
  <cellStyles count="5">
    <cellStyle name="Calculation" xfId="3" builtinId="22"/>
    <cellStyle name="Good" xfId="2" builtinId="26"/>
    <cellStyle name="Neutral" xfId="4" builtinId="28"/>
    <cellStyle name="Normal" xfId="0" builtinId="0"/>
    <cellStyle name="Percent" xfId="1" builtinId="5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32A0D-104B-49B9-9A7A-D24767130D8E}">
  <dimension ref="A1:N27"/>
  <sheetViews>
    <sheetView workbookViewId="0">
      <selection activeCell="F3" sqref="F3:F27"/>
    </sheetView>
  </sheetViews>
  <sheetFormatPr defaultColWidth="8.81640625" defaultRowHeight="14.5" x14ac:dyDescent="0.35"/>
  <cols>
    <col min="1" max="1" width="49.1796875" bestFit="1" customWidth="1"/>
    <col min="2" max="2" width="12.453125" customWidth="1"/>
    <col min="6" max="6" width="8.54296875" bestFit="1" customWidth="1"/>
    <col min="7" max="7" width="6.81640625" customWidth="1"/>
    <col min="8" max="9" width="22.26953125" customWidth="1"/>
    <col min="10" max="10" width="25.26953125" bestFit="1" customWidth="1"/>
    <col min="11" max="11" width="21.90625" bestFit="1" customWidth="1"/>
    <col min="13" max="13" width="15.7265625" customWidth="1"/>
    <col min="14" max="14" width="49.1796875" bestFit="1" customWidth="1"/>
    <col min="17" max="17" width="11.81640625" bestFit="1" customWidth="1"/>
  </cols>
  <sheetData>
    <row r="1" spans="1:14" x14ac:dyDescent="0.35">
      <c r="A1" t="s">
        <v>27</v>
      </c>
    </row>
    <row r="3" spans="1:14" x14ac:dyDescent="0.35">
      <c r="A3" t="s">
        <v>0</v>
      </c>
      <c r="B3" t="s">
        <v>1</v>
      </c>
      <c r="C3" t="s">
        <v>29</v>
      </c>
      <c r="D3" t="s">
        <v>2</v>
      </c>
      <c r="E3" t="s">
        <v>173</v>
      </c>
      <c r="F3" t="s">
        <v>172</v>
      </c>
      <c r="H3" t="s">
        <v>84</v>
      </c>
      <c r="I3" t="s">
        <v>128</v>
      </c>
      <c r="L3" t="s">
        <v>110</v>
      </c>
    </row>
    <row r="4" spans="1:14" x14ac:dyDescent="0.35">
      <c r="A4" s="13" t="s">
        <v>3</v>
      </c>
      <c r="B4" s="13"/>
      <c r="C4">
        <v>9732</v>
      </c>
      <c r="H4" s="10">
        <f>ROUND(GEOMEAN(H5:H6)*'Photoshop 1.0.0'!$L$4,0)</f>
        <v>9728</v>
      </c>
      <c r="I4" s="9">
        <f>MAX(C4,H4)/MIN(C4,H4)</f>
        <v>1.0004111842105263</v>
      </c>
      <c r="J4" s="9"/>
      <c r="K4" t="str">
        <f>A4</f>
        <v>Overall Score (Standard)</v>
      </c>
      <c r="L4">
        <v>100</v>
      </c>
    </row>
    <row r="5" spans="1:14" x14ac:dyDescent="0.35">
      <c r="A5" s="13" t="s">
        <v>85</v>
      </c>
      <c r="B5" s="13" t="s">
        <v>86</v>
      </c>
      <c r="C5">
        <v>104</v>
      </c>
      <c r="H5" s="10">
        <f>ROUND(GEOMEAN(F7:F15,F24:F27)*'Photoshop 1.0.0'!$L$5,0)</f>
        <v>104</v>
      </c>
      <c r="I5" s="9">
        <f>MAX(C5,H5)/MIN(C5,H5)</f>
        <v>1</v>
      </c>
      <c r="J5" s="9"/>
      <c r="K5" t="str">
        <f>A5</f>
        <v>General Score (Standard)</v>
      </c>
      <c r="L5">
        <v>250</v>
      </c>
    </row>
    <row r="6" spans="1:14" x14ac:dyDescent="0.35">
      <c r="A6" s="13" t="s">
        <v>87</v>
      </c>
      <c r="B6" s="13" t="s">
        <v>88</v>
      </c>
      <c r="C6">
        <v>91.5</v>
      </c>
      <c r="H6" s="10">
        <f>ROUND(GEOMEAN(F16:F23)*'Photoshop 1.0.0'!$L$6,0)</f>
        <v>91</v>
      </c>
      <c r="I6" s="9">
        <f>MAX(C6,H6)/MIN(C6,H6)</f>
        <v>1.0054945054945055</v>
      </c>
      <c r="J6" s="9"/>
      <c r="K6" t="str">
        <f>A6</f>
        <v>Filter Score (Standard)</v>
      </c>
      <c r="L6">
        <v>690</v>
      </c>
    </row>
    <row r="7" spans="1:14" x14ac:dyDescent="0.35">
      <c r="A7" t="s">
        <v>89</v>
      </c>
      <c r="B7" t="s">
        <v>86</v>
      </c>
      <c r="C7">
        <v>1.19</v>
      </c>
      <c r="D7" t="s">
        <v>111</v>
      </c>
      <c r="E7" s="5" t="s">
        <v>190</v>
      </c>
      <c r="F7" s="8">
        <f>1/C7</f>
        <v>0.84033613445378152</v>
      </c>
      <c r="K7" s="2"/>
    </row>
    <row r="8" spans="1:14" x14ac:dyDescent="0.35">
      <c r="A8" t="s">
        <v>90</v>
      </c>
      <c r="B8" t="s">
        <v>86</v>
      </c>
      <c r="C8">
        <v>1.41</v>
      </c>
      <c r="D8" t="s">
        <v>111</v>
      </c>
      <c r="E8" s="5" t="s">
        <v>190</v>
      </c>
      <c r="F8" s="8">
        <f t="shared" ref="F8:F27" si="0">1/C8</f>
        <v>0.70921985815602839</v>
      </c>
      <c r="K8" s="2"/>
    </row>
    <row r="9" spans="1:14" x14ac:dyDescent="0.35">
      <c r="A9" t="s">
        <v>91</v>
      </c>
      <c r="B9" t="s">
        <v>86</v>
      </c>
      <c r="C9">
        <v>0.3</v>
      </c>
      <c r="D9" t="s">
        <v>111</v>
      </c>
      <c r="E9" s="5" t="s">
        <v>190</v>
      </c>
      <c r="F9" s="8">
        <f t="shared" si="0"/>
        <v>3.3333333333333335</v>
      </c>
      <c r="K9" s="2"/>
    </row>
    <row r="10" spans="1:14" x14ac:dyDescent="0.35">
      <c r="A10" t="s">
        <v>92</v>
      </c>
      <c r="B10" t="s">
        <v>86</v>
      </c>
      <c r="C10">
        <v>0.93</v>
      </c>
      <c r="D10" t="s">
        <v>111</v>
      </c>
      <c r="E10" s="5" t="s">
        <v>190</v>
      </c>
      <c r="F10" s="8">
        <f t="shared" si="0"/>
        <v>1.075268817204301</v>
      </c>
      <c r="K10" s="2"/>
    </row>
    <row r="11" spans="1:14" x14ac:dyDescent="0.35">
      <c r="A11" t="s">
        <v>93</v>
      </c>
      <c r="B11" t="s">
        <v>86</v>
      </c>
      <c r="C11">
        <v>2.21</v>
      </c>
      <c r="D11" t="s">
        <v>111</v>
      </c>
      <c r="E11" s="5" t="s">
        <v>190</v>
      </c>
      <c r="F11" s="8">
        <f t="shared" si="0"/>
        <v>0.45248868778280543</v>
      </c>
      <c r="K11" s="3"/>
      <c r="N11" s="3"/>
    </row>
    <row r="12" spans="1:14" x14ac:dyDescent="0.35">
      <c r="A12" t="s">
        <v>94</v>
      </c>
      <c r="B12" t="s">
        <v>86</v>
      </c>
      <c r="C12">
        <v>3.31</v>
      </c>
      <c r="D12" t="s">
        <v>111</v>
      </c>
      <c r="E12" s="5" t="s">
        <v>190</v>
      </c>
      <c r="F12" s="8">
        <f t="shared" si="0"/>
        <v>0.30211480362537763</v>
      </c>
      <c r="K12" s="3"/>
      <c r="N12" s="3"/>
    </row>
    <row r="13" spans="1:14" x14ac:dyDescent="0.35">
      <c r="A13" t="s">
        <v>95</v>
      </c>
      <c r="B13" t="s">
        <v>86</v>
      </c>
      <c r="C13">
        <v>1.55</v>
      </c>
      <c r="D13" t="s">
        <v>111</v>
      </c>
      <c r="E13" s="5" t="s">
        <v>190</v>
      </c>
      <c r="F13" s="8">
        <f t="shared" si="0"/>
        <v>0.64516129032258063</v>
      </c>
      <c r="K13" s="3"/>
      <c r="N13" s="3"/>
    </row>
    <row r="14" spans="1:14" x14ac:dyDescent="0.35">
      <c r="A14" t="s">
        <v>96</v>
      </c>
      <c r="B14" t="s">
        <v>86</v>
      </c>
      <c r="C14">
        <v>1.08</v>
      </c>
      <c r="D14" t="s">
        <v>111</v>
      </c>
      <c r="E14" s="5" t="s">
        <v>190</v>
      </c>
      <c r="F14" s="8">
        <f t="shared" si="0"/>
        <v>0.92592592592592582</v>
      </c>
      <c r="K14" s="3"/>
      <c r="N14" s="3"/>
    </row>
    <row r="15" spans="1:14" x14ac:dyDescent="0.35">
      <c r="A15" t="s">
        <v>97</v>
      </c>
      <c r="B15" t="s">
        <v>86</v>
      </c>
      <c r="C15">
        <v>10.68</v>
      </c>
      <c r="D15" t="s">
        <v>111</v>
      </c>
      <c r="E15" s="5" t="s">
        <v>190</v>
      </c>
      <c r="F15" s="8">
        <f t="shared" si="0"/>
        <v>9.3632958801498134E-2</v>
      </c>
      <c r="K15" s="3"/>
      <c r="N15" s="3"/>
    </row>
    <row r="16" spans="1:14" x14ac:dyDescent="0.35">
      <c r="A16" t="s">
        <v>98</v>
      </c>
      <c r="B16" t="s">
        <v>88</v>
      </c>
      <c r="C16">
        <v>94.99</v>
      </c>
      <c r="D16" t="s">
        <v>111</v>
      </c>
      <c r="E16" s="5" t="s">
        <v>190</v>
      </c>
      <c r="F16" s="8">
        <f t="shared" si="0"/>
        <v>1.0527423939362039E-2</v>
      </c>
      <c r="K16" s="2"/>
    </row>
    <row r="17" spans="1:14" x14ac:dyDescent="0.35">
      <c r="A17" t="s">
        <v>99</v>
      </c>
      <c r="B17" t="s">
        <v>88</v>
      </c>
      <c r="C17">
        <v>2.35</v>
      </c>
      <c r="D17" t="s">
        <v>111</v>
      </c>
      <c r="E17" s="5" t="s">
        <v>190</v>
      </c>
      <c r="F17" s="8">
        <f t="shared" si="0"/>
        <v>0.42553191489361702</v>
      </c>
      <c r="K17" s="2"/>
    </row>
    <row r="18" spans="1:14" x14ac:dyDescent="0.35">
      <c r="A18" t="s">
        <v>100</v>
      </c>
      <c r="B18" t="s">
        <v>88</v>
      </c>
      <c r="C18">
        <v>18.75</v>
      </c>
      <c r="D18" t="s">
        <v>111</v>
      </c>
      <c r="E18" s="5" t="s">
        <v>190</v>
      </c>
      <c r="F18" s="8">
        <f t="shared" si="0"/>
        <v>5.3333333333333337E-2</v>
      </c>
      <c r="K18" s="2"/>
    </row>
    <row r="19" spans="1:14" x14ac:dyDescent="0.35">
      <c r="A19" t="s">
        <v>101</v>
      </c>
      <c r="B19" t="s">
        <v>88</v>
      </c>
      <c r="C19">
        <v>6.01</v>
      </c>
      <c r="D19" t="s">
        <v>111</v>
      </c>
      <c r="E19" s="5" t="s">
        <v>190</v>
      </c>
      <c r="F19" s="8">
        <f t="shared" si="0"/>
        <v>0.1663893510815308</v>
      </c>
      <c r="K19" s="2"/>
    </row>
    <row r="20" spans="1:14" x14ac:dyDescent="0.35">
      <c r="A20" t="s">
        <v>102</v>
      </c>
      <c r="B20" t="s">
        <v>88</v>
      </c>
      <c r="C20">
        <v>6.63</v>
      </c>
      <c r="D20" t="s">
        <v>111</v>
      </c>
      <c r="E20" s="5" t="s">
        <v>190</v>
      </c>
      <c r="F20" s="8">
        <f t="shared" si="0"/>
        <v>0.15082956259426847</v>
      </c>
      <c r="K20" s="2"/>
    </row>
    <row r="21" spans="1:14" x14ac:dyDescent="0.35">
      <c r="A21" t="s">
        <v>103</v>
      </c>
      <c r="B21" t="s">
        <v>88</v>
      </c>
      <c r="C21">
        <v>1.31</v>
      </c>
      <c r="D21" t="s">
        <v>111</v>
      </c>
      <c r="E21" s="5" t="s">
        <v>190</v>
      </c>
      <c r="F21" s="8">
        <f t="shared" si="0"/>
        <v>0.76335877862595414</v>
      </c>
      <c r="K21" s="4"/>
      <c r="N21" s="4"/>
    </row>
    <row r="22" spans="1:14" x14ac:dyDescent="0.35">
      <c r="A22" t="s">
        <v>104</v>
      </c>
      <c r="B22" t="s">
        <v>88</v>
      </c>
      <c r="C22">
        <v>6.16</v>
      </c>
      <c r="D22" t="s">
        <v>111</v>
      </c>
      <c r="E22" s="5" t="s">
        <v>190</v>
      </c>
      <c r="F22" s="8">
        <f t="shared" si="0"/>
        <v>0.16233766233766234</v>
      </c>
    </row>
    <row r="23" spans="1:14" x14ac:dyDescent="0.35">
      <c r="A23" t="s">
        <v>105</v>
      </c>
      <c r="B23" t="s">
        <v>88</v>
      </c>
      <c r="C23">
        <v>7.79</v>
      </c>
      <c r="D23" t="s">
        <v>111</v>
      </c>
      <c r="E23" s="5" t="s">
        <v>190</v>
      </c>
      <c r="F23" s="8">
        <f t="shared" si="0"/>
        <v>0.12836970474967907</v>
      </c>
    </row>
    <row r="24" spans="1:14" x14ac:dyDescent="0.35">
      <c r="A24" t="s">
        <v>106</v>
      </c>
      <c r="B24" t="s">
        <v>86</v>
      </c>
      <c r="C24">
        <v>1.39</v>
      </c>
      <c r="D24" t="s">
        <v>111</v>
      </c>
      <c r="E24" s="5" t="s">
        <v>190</v>
      </c>
      <c r="F24" s="8">
        <f t="shared" si="0"/>
        <v>0.71942446043165476</v>
      </c>
    </row>
    <row r="25" spans="1:14" x14ac:dyDescent="0.35">
      <c r="A25" t="s">
        <v>107</v>
      </c>
      <c r="B25" t="s">
        <v>86</v>
      </c>
      <c r="C25">
        <v>20.5</v>
      </c>
      <c r="D25" t="s">
        <v>111</v>
      </c>
      <c r="E25" s="5" t="s">
        <v>190</v>
      </c>
      <c r="F25" s="8">
        <f t="shared" si="0"/>
        <v>4.878048780487805E-2</v>
      </c>
    </row>
    <row r="26" spans="1:14" x14ac:dyDescent="0.35">
      <c r="A26" t="s">
        <v>108</v>
      </c>
      <c r="B26" t="s">
        <v>86</v>
      </c>
      <c r="C26">
        <v>16.2</v>
      </c>
      <c r="D26" t="s">
        <v>111</v>
      </c>
      <c r="E26" s="5" t="s">
        <v>190</v>
      </c>
      <c r="F26" s="8">
        <f t="shared" si="0"/>
        <v>6.1728395061728399E-2</v>
      </c>
    </row>
    <row r="27" spans="1:14" x14ac:dyDescent="0.35">
      <c r="A27" t="s">
        <v>109</v>
      </c>
      <c r="B27" t="s">
        <v>86</v>
      </c>
      <c r="C27">
        <v>3.35</v>
      </c>
      <c r="D27" t="s">
        <v>111</v>
      </c>
      <c r="E27" s="5" t="s">
        <v>190</v>
      </c>
      <c r="F27" s="8">
        <f t="shared" si="0"/>
        <v>0.29850746268656714</v>
      </c>
    </row>
  </sheetData>
  <conditionalFormatting sqref="I4:I6">
    <cfRule type="cellIs" dxfId="15" priority="1" operator="greaterThan">
      <formula>1.01</formula>
    </cfRule>
    <cfRule type="cellIs" dxfId="14" priority="2" operator="greaterThan">
      <formula>101</formula>
    </cfRule>
  </conditionalFormatting>
  <conditionalFormatting sqref="J4:J6 H7:I13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86B0B-A963-4BE6-8E09-637024C66461}">
  <dimension ref="A1:N47"/>
  <sheetViews>
    <sheetView workbookViewId="0">
      <selection activeCell="B12" sqref="B12"/>
    </sheetView>
  </sheetViews>
  <sheetFormatPr defaultColWidth="8.81640625" defaultRowHeight="14.5" x14ac:dyDescent="0.35"/>
  <cols>
    <col min="1" max="1" width="49.1796875" bestFit="1" customWidth="1"/>
    <col min="2" max="2" width="12.453125" customWidth="1"/>
    <col min="5" max="5" width="22.26953125" bestFit="1" customWidth="1"/>
    <col min="6" max="6" width="12.81640625" customWidth="1"/>
    <col min="7" max="8" width="22.26953125" customWidth="1"/>
    <col min="9" max="9" width="11.08984375" customWidth="1"/>
    <col min="10" max="10" width="5.1796875" customWidth="1"/>
    <col min="11" max="11" width="21.54296875" bestFit="1" customWidth="1"/>
    <col min="13" max="13" width="15.7265625" customWidth="1"/>
    <col min="14" max="14" width="49.1796875" bestFit="1" customWidth="1"/>
    <col min="17" max="17" width="11.81640625" bestFit="1" customWidth="1"/>
  </cols>
  <sheetData>
    <row r="1" spans="1:14" x14ac:dyDescent="0.35">
      <c r="A1" t="s">
        <v>27</v>
      </c>
    </row>
    <row r="3" spans="1:14" x14ac:dyDescent="0.35">
      <c r="A3" t="s">
        <v>0</v>
      </c>
      <c r="B3" t="s">
        <v>1</v>
      </c>
      <c r="C3" t="s">
        <v>29</v>
      </c>
      <c r="D3" t="s">
        <v>2</v>
      </c>
      <c r="E3" t="s">
        <v>173</v>
      </c>
      <c r="G3" t="s">
        <v>84</v>
      </c>
      <c r="H3" t="s">
        <v>128</v>
      </c>
      <c r="L3" t="s">
        <v>110</v>
      </c>
    </row>
    <row r="4" spans="1:14" x14ac:dyDescent="0.35">
      <c r="A4" s="17" t="s">
        <v>3</v>
      </c>
      <c r="B4" s="17"/>
      <c r="C4" s="17">
        <v>107325</v>
      </c>
      <c r="G4" s="10">
        <f>ROUND(GEOMEAN(G6:G9)*'Premiere Pro 2.0.0'!$L$4,0)</f>
        <v>107325</v>
      </c>
      <c r="H4" s="9">
        <f t="shared" ref="H4:H13" si="0">MAX(C4,G4)/MIN(C4,G4)</f>
        <v>1</v>
      </c>
      <c r="I4" s="9"/>
      <c r="K4" t="s">
        <v>4</v>
      </c>
      <c r="L4">
        <v>1000</v>
      </c>
    </row>
    <row r="5" spans="1:14" x14ac:dyDescent="0.35">
      <c r="A5" s="17" t="s">
        <v>4</v>
      </c>
      <c r="B5" s="17"/>
      <c r="C5" s="17">
        <v>81379</v>
      </c>
      <c r="G5" s="10">
        <f>ROUND(GEOMEAN(G10:G13)*'Premiere Pro 2.0.0'!$L$4,0)</f>
        <v>81379</v>
      </c>
      <c r="H5" s="9">
        <f t="shared" si="0"/>
        <v>1</v>
      </c>
      <c r="I5" s="9"/>
      <c r="K5" t="s">
        <v>6</v>
      </c>
      <c r="L5">
        <v>0.95</v>
      </c>
    </row>
    <row r="6" spans="1:14" x14ac:dyDescent="0.35">
      <c r="A6" s="17" t="s">
        <v>5</v>
      </c>
      <c r="B6" s="17" t="s">
        <v>6</v>
      </c>
      <c r="C6" s="17">
        <v>92.4</v>
      </c>
      <c r="G6" s="11">
        <f>GEOMEAN(GEOMEAN(C14:C15,C22:C23),GEOMEAN(C39))*'Premiere Pro 2.0.0'!$L$5</f>
        <v>92.389627335825537</v>
      </c>
      <c r="H6" s="9">
        <f t="shared" si="0"/>
        <v>1.0001122708736205</v>
      </c>
      <c r="I6" s="9"/>
      <c r="K6" t="s">
        <v>8</v>
      </c>
      <c r="L6" s="2">
        <v>0.91</v>
      </c>
    </row>
    <row r="7" spans="1:14" x14ac:dyDescent="0.35">
      <c r="A7" s="17" t="s">
        <v>7</v>
      </c>
      <c r="B7" s="17" t="s">
        <v>8</v>
      </c>
      <c r="C7" s="17">
        <v>109</v>
      </c>
      <c r="G7" s="11">
        <f>GEOMEAN(GEOMEAN(C16:C17,C27:C28),GEOMEAN(C19:C20,C29:C31))*$L$6</f>
        <v>109.34028683884593</v>
      </c>
      <c r="H7" s="9">
        <f t="shared" si="0"/>
        <v>1.003121897604091</v>
      </c>
      <c r="I7" s="9"/>
      <c r="K7" t="s">
        <v>10</v>
      </c>
      <c r="L7" s="2">
        <v>2.12</v>
      </c>
    </row>
    <row r="8" spans="1:14" x14ac:dyDescent="0.35">
      <c r="A8" s="17" t="s">
        <v>9</v>
      </c>
      <c r="B8" s="17" t="s">
        <v>10</v>
      </c>
      <c r="C8" s="17">
        <v>166</v>
      </c>
      <c r="G8" s="11">
        <f>GEOMEAN(GEOMEAN(GEOMEAN(C32),GEOMEAN(C36)))*'Premiere Pro 2.0.0'!$L$7</f>
        <v>165.67628418817222</v>
      </c>
      <c r="H8" s="9">
        <f t="shared" si="0"/>
        <v>1.0019539055539182</v>
      </c>
      <c r="I8" s="9"/>
      <c r="K8" t="s">
        <v>12</v>
      </c>
      <c r="L8" s="2">
        <v>7.6</v>
      </c>
    </row>
    <row r="9" spans="1:14" x14ac:dyDescent="0.35">
      <c r="A9" s="17" t="s">
        <v>11</v>
      </c>
      <c r="B9" s="17" t="s">
        <v>12</v>
      </c>
      <c r="C9" s="17">
        <v>79.3</v>
      </c>
      <c r="G9" s="11">
        <f>GEOMEAN(C42:C44)*'Premiere Pro 2.0.0'!$L$8</f>
        <v>79.276528215926632</v>
      </c>
      <c r="H9" s="9">
        <f t="shared" si="0"/>
        <v>1.0002960748231737</v>
      </c>
      <c r="I9" s="9"/>
      <c r="L9" s="2"/>
    </row>
    <row r="10" spans="1:14" x14ac:dyDescent="0.35">
      <c r="A10" s="17" t="s">
        <v>13</v>
      </c>
      <c r="B10" s="17" t="s">
        <v>6</v>
      </c>
      <c r="C10" s="17">
        <v>67.900000000000006</v>
      </c>
      <c r="G10" s="11">
        <f>GEOMEAN(GEOMEAN(C14:C15,C22:C23),GEOMEAN(C24:C26),GEOMEAN(C39:C40))*'Premiere Pro 2.0.0'!$L$5</f>
        <v>67.923567211120613</v>
      </c>
      <c r="H10" s="9">
        <f t="shared" si="0"/>
        <v>1.0003470870562681</v>
      </c>
      <c r="I10" s="9"/>
      <c r="L10" s="2"/>
    </row>
    <row r="11" spans="1:14" x14ac:dyDescent="0.35">
      <c r="A11" s="17" t="s">
        <v>14</v>
      </c>
      <c r="B11" s="17" t="s">
        <v>8</v>
      </c>
      <c r="C11" s="17">
        <v>60</v>
      </c>
      <c r="D11" s="1"/>
      <c r="G11" s="11">
        <f>GEOMEAN(GEOMEAN(C16:C18,C27:C28),GEOMEAN(C19:C21,C29:C31),GEOMEAN(C41))*$L$6</f>
        <v>60.028327828987891</v>
      </c>
      <c r="H11" s="9">
        <f t="shared" si="0"/>
        <v>1.0004721304831314</v>
      </c>
      <c r="I11" s="9"/>
      <c r="L11" s="2"/>
      <c r="N11" s="3"/>
    </row>
    <row r="12" spans="1:14" x14ac:dyDescent="0.35">
      <c r="A12" s="17" t="s">
        <v>15</v>
      </c>
      <c r="B12" s="17" t="s">
        <v>10</v>
      </c>
      <c r="C12" s="17">
        <v>117</v>
      </c>
      <c r="D12" s="1"/>
      <c r="G12" s="11">
        <f>GEOMEAN(GEOMEAN(GEOMEAN(C32),GEOMEAN(C33),GEOMEAN(C34),GEOMEAN(C35),GEOMEAN(C36:C38)))*'Premiere Pro 2.0.0'!$L$7</f>
        <v>116.52906539596958</v>
      </c>
      <c r="H12" s="9">
        <f t="shared" si="0"/>
        <v>1.0040413488465747</v>
      </c>
      <c r="I12" s="9"/>
      <c r="L12" s="2"/>
      <c r="N12" s="3"/>
    </row>
    <row r="13" spans="1:14" x14ac:dyDescent="0.35">
      <c r="A13" s="17" t="s">
        <v>16</v>
      </c>
      <c r="B13" s="17" t="s">
        <v>12</v>
      </c>
      <c r="C13" s="17">
        <v>92.3</v>
      </c>
      <c r="D13" s="1"/>
      <c r="G13" s="11">
        <f>GEOMEAN(C42:C47)*'Premiere Pro 2.0.0'!$L$8</f>
        <v>92.307556449720551</v>
      </c>
      <c r="H13" s="9">
        <f t="shared" si="0"/>
        <v>1.0000818683610027</v>
      </c>
      <c r="I13" s="9"/>
      <c r="L13" s="2"/>
      <c r="N13" s="3"/>
    </row>
    <row r="14" spans="1:14" x14ac:dyDescent="0.35">
      <c r="A14" t="s">
        <v>82</v>
      </c>
      <c r="B14" t="s">
        <v>6</v>
      </c>
      <c r="C14">
        <v>135.61000000000001</v>
      </c>
      <c r="E14" s="5" t="s">
        <v>73</v>
      </c>
      <c r="K14" s="3"/>
      <c r="N14" s="3"/>
    </row>
    <row r="15" spans="1:14" x14ac:dyDescent="0.35">
      <c r="A15" t="s">
        <v>191</v>
      </c>
      <c r="B15" t="s">
        <v>6</v>
      </c>
      <c r="C15">
        <v>504.31</v>
      </c>
      <c r="E15" s="5" t="s">
        <v>73</v>
      </c>
      <c r="K15" s="3"/>
      <c r="N15" s="3"/>
    </row>
    <row r="16" spans="1:14" x14ac:dyDescent="0.35">
      <c r="A16" t="s">
        <v>18</v>
      </c>
      <c r="B16" t="s">
        <v>8</v>
      </c>
      <c r="C16">
        <v>79.95</v>
      </c>
      <c r="E16" s="5" t="s">
        <v>73</v>
      </c>
      <c r="K16" s="2"/>
    </row>
    <row r="17" spans="1:14" x14ac:dyDescent="0.35">
      <c r="A17" t="s">
        <v>19</v>
      </c>
      <c r="B17" t="s">
        <v>8</v>
      </c>
      <c r="C17">
        <v>79.11</v>
      </c>
      <c r="E17" s="5" t="s">
        <v>73</v>
      </c>
      <c r="K17" s="2"/>
    </row>
    <row r="18" spans="1:14" x14ac:dyDescent="0.35">
      <c r="A18" t="s">
        <v>20</v>
      </c>
      <c r="B18" t="s">
        <v>8</v>
      </c>
      <c r="C18">
        <v>59.41</v>
      </c>
      <c r="E18" s="7" t="s">
        <v>75</v>
      </c>
      <c r="K18" s="2"/>
    </row>
    <row r="19" spans="1:14" x14ac:dyDescent="0.35">
      <c r="A19" t="s">
        <v>115</v>
      </c>
      <c r="B19" t="s">
        <v>8</v>
      </c>
      <c r="C19">
        <v>349.63</v>
      </c>
      <c r="E19" s="5" t="s">
        <v>73</v>
      </c>
      <c r="K19" s="2"/>
    </row>
    <row r="20" spans="1:14" x14ac:dyDescent="0.35">
      <c r="A20" t="s">
        <v>116</v>
      </c>
      <c r="B20" t="s">
        <v>8</v>
      </c>
      <c r="C20">
        <v>216.25</v>
      </c>
      <c r="E20" s="5" t="s">
        <v>73</v>
      </c>
      <c r="K20" s="2"/>
    </row>
    <row r="21" spans="1:14" x14ac:dyDescent="0.35">
      <c r="A21" t="s">
        <v>117</v>
      </c>
      <c r="B21" t="s">
        <v>8</v>
      </c>
      <c r="C21">
        <v>67.37</v>
      </c>
      <c r="E21" s="7" t="s">
        <v>75</v>
      </c>
      <c r="K21" s="4"/>
      <c r="N21" s="4"/>
    </row>
    <row r="22" spans="1:14" x14ac:dyDescent="0.35">
      <c r="A22" t="s">
        <v>118</v>
      </c>
      <c r="B22" t="s">
        <v>6</v>
      </c>
      <c r="C22">
        <v>129.31</v>
      </c>
      <c r="D22" t="s">
        <v>17</v>
      </c>
      <c r="E22" s="5" t="s">
        <v>73</v>
      </c>
    </row>
    <row r="23" spans="1:14" x14ac:dyDescent="0.35">
      <c r="A23" t="s">
        <v>192</v>
      </c>
      <c r="B23" t="s">
        <v>6</v>
      </c>
      <c r="C23">
        <v>43.33</v>
      </c>
      <c r="D23" t="s">
        <v>17</v>
      </c>
      <c r="E23" s="5" t="s">
        <v>73</v>
      </c>
    </row>
    <row r="24" spans="1:14" x14ac:dyDescent="0.35">
      <c r="A24" t="s">
        <v>119</v>
      </c>
      <c r="B24" t="s">
        <v>6</v>
      </c>
      <c r="C24">
        <v>114.84</v>
      </c>
      <c r="D24" t="s">
        <v>17</v>
      </c>
      <c r="E24" s="7" t="s">
        <v>75</v>
      </c>
    </row>
    <row r="25" spans="1:14" x14ac:dyDescent="0.35">
      <c r="A25" t="s">
        <v>193</v>
      </c>
      <c r="B25" t="s">
        <v>6</v>
      </c>
      <c r="C25">
        <v>26.56</v>
      </c>
      <c r="D25" t="s">
        <v>17</v>
      </c>
      <c r="E25" s="7" t="s">
        <v>75</v>
      </c>
    </row>
    <row r="26" spans="1:14" x14ac:dyDescent="0.35">
      <c r="A26" t="s">
        <v>120</v>
      </c>
      <c r="B26" t="s">
        <v>6</v>
      </c>
      <c r="C26">
        <v>65.87</v>
      </c>
      <c r="D26" t="s">
        <v>17</v>
      </c>
      <c r="E26" s="7" t="s">
        <v>75</v>
      </c>
    </row>
    <row r="27" spans="1:14" x14ac:dyDescent="0.35">
      <c r="A27" t="s">
        <v>23</v>
      </c>
      <c r="B27" t="s">
        <v>8</v>
      </c>
      <c r="C27">
        <v>201.17</v>
      </c>
      <c r="D27" t="s">
        <v>17</v>
      </c>
      <c r="E27" s="5" t="s">
        <v>73</v>
      </c>
    </row>
    <row r="28" spans="1:14" x14ac:dyDescent="0.35">
      <c r="A28" t="s">
        <v>28</v>
      </c>
      <c r="B28" t="s">
        <v>8</v>
      </c>
      <c r="C28">
        <v>221</v>
      </c>
      <c r="D28" t="s">
        <v>17</v>
      </c>
      <c r="E28" s="5" t="s">
        <v>73</v>
      </c>
    </row>
    <row r="29" spans="1:14" x14ac:dyDescent="0.35">
      <c r="A29" t="s">
        <v>21</v>
      </c>
      <c r="B29" t="s">
        <v>8</v>
      </c>
      <c r="C29">
        <v>99.71</v>
      </c>
      <c r="D29" t="s">
        <v>17</v>
      </c>
      <c r="E29" s="5" t="s">
        <v>73</v>
      </c>
    </row>
    <row r="30" spans="1:14" x14ac:dyDescent="0.35">
      <c r="A30" t="s">
        <v>22</v>
      </c>
      <c r="B30" t="s">
        <v>8</v>
      </c>
      <c r="C30">
        <v>97.72</v>
      </c>
      <c r="D30" t="s">
        <v>17</v>
      </c>
      <c r="E30" s="5" t="s">
        <v>73</v>
      </c>
    </row>
    <row r="31" spans="1:14" x14ac:dyDescent="0.35">
      <c r="A31" t="s">
        <v>194</v>
      </c>
      <c r="B31" t="s">
        <v>8</v>
      </c>
      <c r="C31">
        <v>23.38</v>
      </c>
      <c r="D31" t="s">
        <v>17</v>
      </c>
      <c r="E31" s="5" t="s">
        <v>73</v>
      </c>
    </row>
    <row r="32" spans="1:14" x14ac:dyDescent="0.35">
      <c r="A32" t="s">
        <v>195</v>
      </c>
      <c r="B32" t="s">
        <v>10</v>
      </c>
      <c r="C32">
        <v>88.64</v>
      </c>
      <c r="D32" t="s">
        <v>17</v>
      </c>
      <c r="E32" s="5" t="s">
        <v>73</v>
      </c>
    </row>
    <row r="33" spans="1:5" x14ac:dyDescent="0.35">
      <c r="A33" t="s">
        <v>39</v>
      </c>
      <c r="B33" t="s">
        <v>10</v>
      </c>
      <c r="C33">
        <v>102.07</v>
      </c>
      <c r="D33" t="s">
        <v>17</v>
      </c>
      <c r="E33" s="7" t="s">
        <v>75</v>
      </c>
    </row>
    <row r="34" spans="1:5" x14ac:dyDescent="0.35">
      <c r="A34" t="s">
        <v>196</v>
      </c>
      <c r="B34" t="s">
        <v>10</v>
      </c>
      <c r="C34">
        <v>107.17</v>
      </c>
      <c r="D34" t="s">
        <v>17</v>
      </c>
      <c r="E34" s="7" t="s">
        <v>75</v>
      </c>
    </row>
    <row r="35" spans="1:5" x14ac:dyDescent="0.35">
      <c r="A35" t="s">
        <v>197</v>
      </c>
      <c r="B35" t="s">
        <v>10</v>
      </c>
      <c r="C35">
        <v>22.21</v>
      </c>
      <c r="D35" t="s">
        <v>17</v>
      </c>
      <c r="E35" s="7" t="s">
        <v>75</v>
      </c>
    </row>
    <row r="36" spans="1:5" x14ac:dyDescent="0.35">
      <c r="A36" t="s">
        <v>198</v>
      </c>
      <c r="B36" t="s">
        <v>10</v>
      </c>
      <c r="C36">
        <v>68.900000000000006</v>
      </c>
      <c r="D36" t="s">
        <v>17</v>
      </c>
      <c r="E36" s="5" t="s">
        <v>73</v>
      </c>
    </row>
    <row r="37" spans="1:5" x14ac:dyDescent="0.35">
      <c r="A37" t="s">
        <v>199</v>
      </c>
      <c r="B37" t="s">
        <v>10</v>
      </c>
      <c r="C37">
        <v>3.31</v>
      </c>
      <c r="D37" t="s">
        <v>17</v>
      </c>
      <c r="E37" s="7" t="s">
        <v>75</v>
      </c>
    </row>
    <row r="38" spans="1:5" x14ac:dyDescent="0.35">
      <c r="A38" t="s">
        <v>200</v>
      </c>
      <c r="B38" t="s">
        <v>10</v>
      </c>
      <c r="C38">
        <v>55.46</v>
      </c>
      <c r="D38" t="s">
        <v>17</v>
      </c>
      <c r="E38" s="7" t="s">
        <v>75</v>
      </c>
    </row>
    <row r="39" spans="1:5" x14ac:dyDescent="0.35">
      <c r="A39" t="s">
        <v>201</v>
      </c>
      <c r="B39" t="s">
        <v>6</v>
      </c>
      <c r="C39">
        <v>67.599999999999994</v>
      </c>
      <c r="D39" t="s">
        <v>17</v>
      </c>
      <c r="E39" s="5" t="s">
        <v>73</v>
      </c>
    </row>
    <row r="40" spans="1:5" x14ac:dyDescent="0.35">
      <c r="A40" t="s">
        <v>202</v>
      </c>
      <c r="B40" t="s">
        <v>6</v>
      </c>
      <c r="C40">
        <v>29.43</v>
      </c>
      <c r="D40" t="s">
        <v>17</v>
      </c>
      <c r="E40" s="7" t="s">
        <v>75</v>
      </c>
    </row>
    <row r="41" spans="1:5" x14ac:dyDescent="0.35">
      <c r="A41" t="s">
        <v>203</v>
      </c>
      <c r="B41" t="s">
        <v>8</v>
      </c>
      <c r="C41">
        <v>25.27</v>
      </c>
      <c r="D41" t="s">
        <v>17</v>
      </c>
      <c r="E41" s="7" t="s">
        <v>75</v>
      </c>
    </row>
    <row r="42" spans="1:5" x14ac:dyDescent="0.35">
      <c r="A42" t="s">
        <v>204</v>
      </c>
      <c r="B42" t="s">
        <v>12</v>
      </c>
      <c r="C42">
        <v>13.67</v>
      </c>
      <c r="D42" t="s">
        <v>17</v>
      </c>
      <c r="E42" s="5" t="s">
        <v>73</v>
      </c>
    </row>
    <row r="43" spans="1:5" x14ac:dyDescent="0.35">
      <c r="A43" t="s">
        <v>205</v>
      </c>
      <c r="B43" t="s">
        <v>12</v>
      </c>
      <c r="C43">
        <v>6.29</v>
      </c>
      <c r="E43" s="5" t="s">
        <v>73</v>
      </c>
    </row>
    <row r="44" spans="1:5" x14ac:dyDescent="0.35">
      <c r="A44" t="s">
        <v>206</v>
      </c>
      <c r="B44" t="s">
        <v>12</v>
      </c>
      <c r="C44">
        <v>13.2</v>
      </c>
      <c r="E44" s="5" t="s">
        <v>73</v>
      </c>
    </row>
    <row r="45" spans="1:5" x14ac:dyDescent="0.35">
      <c r="A45" t="s">
        <v>207</v>
      </c>
      <c r="B45" t="s">
        <v>12</v>
      </c>
      <c r="C45">
        <v>12.62</v>
      </c>
      <c r="E45" s="7" t="s">
        <v>75</v>
      </c>
    </row>
    <row r="46" spans="1:5" x14ac:dyDescent="0.35">
      <c r="A46" t="s">
        <v>126</v>
      </c>
      <c r="B46" t="s">
        <v>12</v>
      </c>
      <c r="C46">
        <v>21.93</v>
      </c>
      <c r="E46" s="7" t="s">
        <v>75</v>
      </c>
    </row>
    <row r="47" spans="1:5" x14ac:dyDescent="0.35">
      <c r="A47" t="s">
        <v>127</v>
      </c>
      <c r="B47" t="s">
        <v>12</v>
      </c>
      <c r="C47">
        <v>10.220000000000001</v>
      </c>
      <c r="E47" s="7" t="s">
        <v>75</v>
      </c>
    </row>
  </sheetData>
  <conditionalFormatting sqref="H4:I13">
    <cfRule type="cellIs" dxfId="13" priority="1" operator="greaterThan">
      <formula>1.01</formula>
    </cfRule>
    <cfRule type="cellIs" dxfId="12" priority="2" operator="greaterThan">
      <formula>101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80779-43D8-4864-95E3-0430FAFB3030}">
  <dimension ref="A1:N42"/>
  <sheetViews>
    <sheetView workbookViewId="0">
      <selection activeCell="A33" sqref="A33"/>
    </sheetView>
  </sheetViews>
  <sheetFormatPr defaultColWidth="8.81640625" defaultRowHeight="14.5" x14ac:dyDescent="0.35"/>
  <cols>
    <col min="1" max="1" width="49.1796875" bestFit="1" customWidth="1"/>
    <col min="2" max="2" width="12.453125" customWidth="1"/>
    <col min="5" max="5" width="22.26953125" bestFit="1" customWidth="1"/>
    <col min="6" max="6" width="12.81640625" customWidth="1"/>
    <col min="7" max="8" width="22.26953125" customWidth="1"/>
    <col min="9" max="9" width="11.08984375" customWidth="1"/>
    <col min="10" max="10" width="5.1796875" customWidth="1"/>
    <col min="11" max="11" width="21.54296875" bestFit="1" customWidth="1"/>
    <col min="13" max="13" width="15.7265625" customWidth="1"/>
    <col min="14" max="14" width="49.1796875" bestFit="1" customWidth="1"/>
    <col min="17" max="17" width="11.81640625" bestFit="1" customWidth="1"/>
  </cols>
  <sheetData>
    <row r="1" spans="1:14" x14ac:dyDescent="0.35">
      <c r="A1" t="s">
        <v>27</v>
      </c>
    </row>
    <row r="3" spans="1:14" x14ac:dyDescent="0.35">
      <c r="A3" t="s">
        <v>0</v>
      </c>
      <c r="B3" t="s">
        <v>1</v>
      </c>
      <c r="C3" t="s">
        <v>29</v>
      </c>
      <c r="D3" t="s">
        <v>2</v>
      </c>
      <c r="E3" t="s">
        <v>173</v>
      </c>
      <c r="G3" t="s">
        <v>84</v>
      </c>
      <c r="H3" t="s">
        <v>128</v>
      </c>
      <c r="L3" t="s">
        <v>110</v>
      </c>
    </row>
    <row r="4" spans="1:14" x14ac:dyDescent="0.35">
      <c r="A4" s="17" t="s">
        <v>3</v>
      </c>
      <c r="B4" s="17"/>
      <c r="C4" s="17">
        <v>10852</v>
      </c>
      <c r="G4" s="10">
        <f>ROUND(GEOMEAN(G6:G9)*'Premiere Pro 1.0.0'!$L$4,0)</f>
        <v>10852</v>
      </c>
      <c r="H4" s="9">
        <f t="shared" ref="H4:H13" si="0">MAX(C4,G4)/MIN(C4,G4)</f>
        <v>1</v>
      </c>
      <c r="I4" s="9"/>
      <c r="K4" t="s">
        <v>4</v>
      </c>
      <c r="L4">
        <v>100</v>
      </c>
    </row>
    <row r="5" spans="1:14" x14ac:dyDescent="0.35">
      <c r="A5" s="17" t="s">
        <v>4</v>
      </c>
      <c r="B5" s="17"/>
      <c r="C5" s="17">
        <v>7345</v>
      </c>
      <c r="G5" s="10">
        <f>ROUND(GEOMEAN(G10:G13)*'Premiere Pro 1.0.0'!$L$4,0)</f>
        <v>7345</v>
      </c>
      <c r="H5" s="9">
        <f t="shared" si="0"/>
        <v>1</v>
      </c>
      <c r="I5" s="9"/>
      <c r="K5" t="s">
        <v>6</v>
      </c>
      <c r="L5">
        <v>0.95</v>
      </c>
    </row>
    <row r="6" spans="1:14" x14ac:dyDescent="0.35">
      <c r="A6" s="17" t="s">
        <v>5</v>
      </c>
      <c r="B6" s="17" t="s">
        <v>6</v>
      </c>
      <c r="C6" s="17">
        <v>97.2</v>
      </c>
      <c r="G6" s="11">
        <f>GEOMEAN(GEOMEAN(C14:C15,C17:C18),GEOMEAN(C26))*'Premiere Pro 1.0.0'!$L$5</f>
        <v>97.214653172287015</v>
      </c>
      <c r="H6" s="9">
        <f t="shared" si="0"/>
        <v>1.0001507528013067</v>
      </c>
      <c r="I6" s="9"/>
      <c r="K6" t="s">
        <v>8</v>
      </c>
      <c r="L6" s="2">
        <v>0.91</v>
      </c>
    </row>
    <row r="7" spans="1:14" x14ac:dyDescent="0.35">
      <c r="A7" s="17" t="s">
        <v>7</v>
      </c>
      <c r="B7" s="17" t="s">
        <v>8</v>
      </c>
      <c r="C7" s="17">
        <v>104</v>
      </c>
      <c r="G7" s="11">
        <f>GEOMEAN(GEOMEAN(C20:C21,C23:C24),GEOMEAN(C29:C32))*'Premiere Pro 1.0.0'!$L$6</f>
        <v>103.68152241795485</v>
      </c>
      <c r="H7" s="9">
        <f t="shared" si="0"/>
        <v>1.0030716908337951</v>
      </c>
      <c r="I7" s="9"/>
      <c r="K7" t="s">
        <v>10</v>
      </c>
      <c r="L7" s="2">
        <v>2.12</v>
      </c>
    </row>
    <row r="8" spans="1:14" x14ac:dyDescent="0.35">
      <c r="A8" s="17" t="s">
        <v>9</v>
      </c>
      <c r="B8" s="17" t="s">
        <v>10</v>
      </c>
      <c r="C8" s="17">
        <v>164</v>
      </c>
      <c r="G8" s="11">
        <f>GEOMEAN(GEOMEAN(C36))*'Premiere Pro 1.0.0'!$L$7</f>
        <v>163.93960000000001</v>
      </c>
      <c r="H8" s="9">
        <f t="shared" si="0"/>
        <v>1.0003684283724006</v>
      </c>
      <c r="I8" s="9"/>
      <c r="K8" t="s">
        <v>12</v>
      </c>
      <c r="L8" s="2">
        <v>1.18</v>
      </c>
    </row>
    <row r="9" spans="1:14" x14ac:dyDescent="0.35">
      <c r="A9" s="17" t="s">
        <v>11</v>
      </c>
      <c r="B9" s="17" t="s">
        <v>12</v>
      </c>
      <c r="C9" s="17">
        <v>83.9</v>
      </c>
      <c r="G9" s="11">
        <f>GEOMEAN(C38:C40)*'Premiere Pro 1.0.0'!$L$8</f>
        <v>83.941926886767718</v>
      </c>
      <c r="H9" s="9">
        <f t="shared" si="0"/>
        <v>1.0004997245145137</v>
      </c>
      <c r="I9" s="9"/>
      <c r="L9" s="2"/>
    </row>
    <row r="10" spans="1:14" x14ac:dyDescent="0.35">
      <c r="A10" s="17" t="s">
        <v>13</v>
      </c>
      <c r="B10" s="17" t="s">
        <v>6</v>
      </c>
      <c r="C10" s="17">
        <v>72.400000000000006</v>
      </c>
      <c r="G10" s="11">
        <f>GEOMEAN(GEOMEAN(C14:C19),GEOMEAN(C26:C28))*'Premiere Pro 1.0.0'!$L$5</f>
        <v>72.432580337973931</v>
      </c>
      <c r="H10" s="9">
        <f t="shared" si="0"/>
        <v>1.0004500046681482</v>
      </c>
      <c r="I10" s="9"/>
      <c r="L10" s="2"/>
    </row>
    <row r="11" spans="1:14" x14ac:dyDescent="0.35">
      <c r="A11" s="17" t="s">
        <v>14</v>
      </c>
      <c r="B11" s="17" t="s">
        <v>8</v>
      </c>
      <c r="C11" s="17">
        <v>92.1</v>
      </c>
      <c r="D11" s="1"/>
      <c r="G11" s="11">
        <f>GEOMEAN(GEOMEAN(C20:C25),GEOMEAN(C29:C32))*'Premiere Pro 1.0.0'!$L$6</f>
        <v>92.094068018045718</v>
      </c>
      <c r="H11" s="9">
        <f t="shared" si="0"/>
        <v>1.0000644122046287</v>
      </c>
      <c r="I11" s="9"/>
      <c r="L11" s="2"/>
      <c r="N11" s="3"/>
    </row>
    <row r="12" spans="1:14" x14ac:dyDescent="0.35">
      <c r="A12" s="17" t="s">
        <v>15</v>
      </c>
      <c r="B12" s="17" t="s">
        <v>10</v>
      </c>
      <c r="C12" s="17">
        <v>68.099999999999994</v>
      </c>
      <c r="D12" s="1"/>
      <c r="G12" s="11">
        <f>GEOMEAN(GEOMEAN(C33:C37))*'Premiere Pro 1.0.0'!$L$7</f>
        <v>68.087360828161167</v>
      </c>
      <c r="H12" s="9">
        <f t="shared" si="0"/>
        <v>1.000185631689716</v>
      </c>
      <c r="I12" s="9"/>
      <c r="L12" s="2"/>
      <c r="N12" s="3"/>
    </row>
    <row r="13" spans="1:14" x14ac:dyDescent="0.35">
      <c r="A13" s="17" t="s">
        <v>16</v>
      </c>
      <c r="B13" s="17" t="s">
        <v>12</v>
      </c>
      <c r="C13" s="17">
        <v>64.099999999999994</v>
      </c>
      <c r="D13" s="1"/>
      <c r="G13" s="11">
        <f>GEOMEAN(C38:C42)*'Premiere Pro 1.0.0'!$L$8</f>
        <v>64.096712263141654</v>
      </c>
      <c r="H13" s="9">
        <f t="shared" si="0"/>
        <v>1.0000512933774957</v>
      </c>
      <c r="I13" s="9"/>
      <c r="L13" s="2"/>
      <c r="N13" s="3"/>
    </row>
    <row r="14" spans="1:14" x14ac:dyDescent="0.35">
      <c r="A14" t="s">
        <v>82</v>
      </c>
      <c r="B14" t="s">
        <v>6</v>
      </c>
      <c r="C14">
        <v>176.44</v>
      </c>
      <c r="E14" s="5" t="s">
        <v>73</v>
      </c>
      <c r="K14" s="3"/>
      <c r="N14" s="3"/>
    </row>
    <row r="15" spans="1:14" x14ac:dyDescent="0.35">
      <c r="A15" t="s">
        <v>83</v>
      </c>
      <c r="B15" t="s">
        <v>6</v>
      </c>
      <c r="C15">
        <v>170.38</v>
      </c>
      <c r="E15" s="5" t="s">
        <v>73</v>
      </c>
      <c r="K15" s="3"/>
      <c r="N15" s="3"/>
    </row>
    <row r="16" spans="1:14" x14ac:dyDescent="0.35">
      <c r="A16" t="s">
        <v>81</v>
      </c>
      <c r="B16" t="s">
        <v>6</v>
      </c>
      <c r="C16">
        <v>166.13</v>
      </c>
      <c r="E16" s="7" t="s">
        <v>75</v>
      </c>
      <c r="K16" s="2"/>
    </row>
    <row r="17" spans="1:14" x14ac:dyDescent="0.35">
      <c r="A17" t="s">
        <v>112</v>
      </c>
      <c r="B17" t="s">
        <v>6</v>
      </c>
      <c r="C17">
        <v>53.57</v>
      </c>
      <c r="E17" s="5" t="s">
        <v>73</v>
      </c>
      <c r="K17" s="2"/>
    </row>
    <row r="18" spans="1:14" x14ac:dyDescent="0.35">
      <c r="A18" t="s">
        <v>113</v>
      </c>
      <c r="B18" t="s">
        <v>6</v>
      </c>
      <c r="C18">
        <v>42.81</v>
      </c>
      <c r="E18" s="5" t="s">
        <v>73</v>
      </c>
      <c r="K18" s="2"/>
    </row>
    <row r="19" spans="1:14" x14ac:dyDescent="0.35">
      <c r="A19" t="s">
        <v>114</v>
      </c>
      <c r="B19" t="s">
        <v>6</v>
      </c>
      <c r="C19">
        <v>25.05</v>
      </c>
      <c r="E19" s="7" t="s">
        <v>75</v>
      </c>
      <c r="K19" s="2"/>
    </row>
    <row r="20" spans="1:14" x14ac:dyDescent="0.35">
      <c r="A20" t="s">
        <v>18</v>
      </c>
      <c r="B20" t="s">
        <v>8</v>
      </c>
      <c r="C20">
        <v>69.16</v>
      </c>
      <c r="E20" s="5" t="s">
        <v>73</v>
      </c>
      <c r="K20" s="2"/>
    </row>
    <row r="21" spans="1:14" x14ac:dyDescent="0.35">
      <c r="A21" t="s">
        <v>19</v>
      </c>
      <c r="B21" t="s">
        <v>8</v>
      </c>
      <c r="C21">
        <v>67.81</v>
      </c>
      <c r="E21" s="5" t="s">
        <v>73</v>
      </c>
      <c r="K21" s="4"/>
      <c r="N21" s="4"/>
    </row>
    <row r="22" spans="1:14" x14ac:dyDescent="0.35">
      <c r="A22" t="s">
        <v>20</v>
      </c>
      <c r="B22" t="s">
        <v>8</v>
      </c>
      <c r="C22">
        <v>48.35</v>
      </c>
      <c r="D22" t="s">
        <v>17</v>
      </c>
      <c r="E22" s="7" t="s">
        <v>75</v>
      </c>
    </row>
    <row r="23" spans="1:14" x14ac:dyDescent="0.35">
      <c r="A23" t="s">
        <v>115</v>
      </c>
      <c r="B23" t="s">
        <v>8</v>
      </c>
      <c r="C23">
        <v>217.88</v>
      </c>
      <c r="D23" t="s">
        <v>17</v>
      </c>
      <c r="E23" s="5" t="s">
        <v>73</v>
      </c>
    </row>
    <row r="24" spans="1:14" x14ac:dyDescent="0.35">
      <c r="A24" t="s">
        <v>116</v>
      </c>
      <c r="B24" t="s">
        <v>8</v>
      </c>
      <c r="C24">
        <v>145.62</v>
      </c>
      <c r="D24" t="s">
        <v>17</v>
      </c>
      <c r="E24" s="5" t="s">
        <v>73</v>
      </c>
    </row>
    <row r="25" spans="1:14" x14ac:dyDescent="0.35">
      <c r="A25" t="s">
        <v>117</v>
      </c>
      <c r="B25" t="s">
        <v>8</v>
      </c>
      <c r="C25">
        <v>60.85</v>
      </c>
      <c r="D25" t="s">
        <v>17</v>
      </c>
      <c r="E25" s="7" t="s">
        <v>75</v>
      </c>
    </row>
    <row r="26" spans="1:14" x14ac:dyDescent="0.35">
      <c r="A26" t="s">
        <v>118</v>
      </c>
      <c r="B26" t="s">
        <v>6</v>
      </c>
      <c r="C26">
        <v>114.92</v>
      </c>
      <c r="D26" t="s">
        <v>17</v>
      </c>
      <c r="E26" s="5" t="s">
        <v>73</v>
      </c>
    </row>
    <row r="27" spans="1:14" x14ac:dyDescent="0.35">
      <c r="A27" t="s">
        <v>119</v>
      </c>
      <c r="B27" t="s">
        <v>6</v>
      </c>
      <c r="C27">
        <v>76.83</v>
      </c>
      <c r="D27" t="s">
        <v>17</v>
      </c>
      <c r="E27" s="7" t="s">
        <v>75</v>
      </c>
    </row>
    <row r="28" spans="1:14" x14ac:dyDescent="0.35">
      <c r="A28" t="s">
        <v>120</v>
      </c>
      <c r="B28" t="s">
        <v>6</v>
      </c>
      <c r="C28">
        <v>41.54</v>
      </c>
      <c r="D28" t="s">
        <v>17</v>
      </c>
      <c r="E28" s="7" t="s">
        <v>75</v>
      </c>
    </row>
    <row r="29" spans="1:14" x14ac:dyDescent="0.35">
      <c r="A29" t="s">
        <v>21</v>
      </c>
      <c r="B29" t="s">
        <v>8</v>
      </c>
      <c r="C29">
        <v>75.73</v>
      </c>
      <c r="D29" t="s">
        <v>17</v>
      </c>
      <c r="E29" s="5" t="s">
        <v>73</v>
      </c>
    </row>
    <row r="30" spans="1:14" x14ac:dyDescent="0.35">
      <c r="A30" t="s">
        <v>22</v>
      </c>
      <c r="B30" t="s">
        <v>8</v>
      </c>
      <c r="C30">
        <v>72.55</v>
      </c>
      <c r="D30" t="s">
        <v>17</v>
      </c>
      <c r="E30" s="5" t="s">
        <v>73</v>
      </c>
    </row>
    <row r="31" spans="1:14" x14ac:dyDescent="0.35">
      <c r="A31" t="s">
        <v>23</v>
      </c>
      <c r="B31" t="s">
        <v>8</v>
      </c>
      <c r="C31">
        <v>182.22</v>
      </c>
      <c r="D31" t="s">
        <v>17</v>
      </c>
      <c r="E31" s="5" t="s">
        <v>73</v>
      </c>
    </row>
    <row r="32" spans="1:14" x14ac:dyDescent="0.35">
      <c r="A32" t="s">
        <v>28</v>
      </c>
      <c r="B32" t="s">
        <v>8</v>
      </c>
      <c r="C32">
        <v>190.63</v>
      </c>
      <c r="D32" t="s">
        <v>17</v>
      </c>
      <c r="E32" s="5" t="s">
        <v>73</v>
      </c>
    </row>
    <row r="33" spans="1:5" x14ac:dyDescent="0.35">
      <c r="A33" t="s">
        <v>24</v>
      </c>
      <c r="B33" t="s">
        <v>10</v>
      </c>
      <c r="C33">
        <v>11.81</v>
      </c>
      <c r="D33" t="s">
        <v>17</v>
      </c>
      <c r="E33" s="7" t="s">
        <v>75</v>
      </c>
    </row>
    <row r="34" spans="1:5" x14ac:dyDescent="0.35">
      <c r="A34" t="s">
        <v>121</v>
      </c>
      <c r="B34" t="s">
        <v>10</v>
      </c>
      <c r="C34">
        <v>42.21</v>
      </c>
      <c r="D34" t="s">
        <v>17</v>
      </c>
      <c r="E34" s="7" t="s">
        <v>75</v>
      </c>
    </row>
    <row r="35" spans="1:5" x14ac:dyDescent="0.35">
      <c r="A35" t="s">
        <v>122</v>
      </c>
      <c r="B35" t="s">
        <v>10</v>
      </c>
      <c r="C35">
        <v>12.07</v>
      </c>
      <c r="D35" t="s">
        <v>17</v>
      </c>
      <c r="E35" s="7" t="s">
        <v>75</v>
      </c>
    </row>
    <row r="36" spans="1:5" x14ac:dyDescent="0.35">
      <c r="A36" t="s">
        <v>25</v>
      </c>
      <c r="B36" t="s">
        <v>10</v>
      </c>
      <c r="C36">
        <v>77.33</v>
      </c>
      <c r="D36" t="s">
        <v>17</v>
      </c>
      <c r="E36" s="5" t="s">
        <v>73</v>
      </c>
    </row>
    <row r="37" spans="1:5" x14ac:dyDescent="0.35">
      <c r="A37" t="s">
        <v>26</v>
      </c>
      <c r="B37" t="s">
        <v>10</v>
      </c>
      <c r="C37">
        <v>73.44</v>
      </c>
      <c r="D37" t="s">
        <v>17</v>
      </c>
      <c r="E37" s="7" t="s">
        <v>75</v>
      </c>
    </row>
    <row r="38" spans="1:5" x14ac:dyDescent="0.35">
      <c r="A38" t="s">
        <v>123</v>
      </c>
      <c r="B38" t="s">
        <v>12</v>
      </c>
      <c r="C38">
        <v>63.24</v>
      </c>
      <c r="D38" t="s">
        <v>17</v>
      </c>
      <c r="E38" s="5" t="s">
        <v>73</v>
      </c>
    </row>
    <row r="39" spans="1:5" x14ac:dyDescent="0.35">
      <c r="A39" t="s">
        <v>124</v>
      </c>
      <c r="B39" t="s">
        <v>12</v>
      </c>
      <c r="C39">
        <v>36.42</v>
      </c>
      <c r="D39" t="s">
        <v>17</v>
      </c>
      <c r="E39" s="5" t="s">
        <v>73</v>
      </c>
    </row>
    <row r="40" spans="1:5" x14ac:dyDescent="0.35">
      <c r="A40" t="s">
        <v>125</v>
      </c>
      <c r="B40" t="s">
        <v>12</v>
      </c>
      <c r="C40">
        <v>156.30000000000001</v>
      </c>
      <c r="D40" t="s">
        <v>17</v>
      </c>
      <c r="E40" s="5" t="s">
        <v>73</v>
      </c>
    </row>
    <row r="41" spans="1:5" x14ac:dyDescent="0.35">
      <c r="A41" t="s">
        <v>126</v>
      </c>
      <c r="B41" t="s">
        <v>12</v>
      </c>
      <c r="C41">
        <v>39.520000000000003</v>
      </c>
      <c r="D41" t="s">
        <v>17</v>
      </c>
      <c r="E41" s="7" t="s">
        <v>75</v>
      </c>
    </row>
    <row r="42" spans="1:5" x14ac:dyDescent="0.35">
      <c r="A42" t="s">
        <v>127</v>
      </c>
      <c r="B42" t="s">
        <v>12</v>
      </c>
      <c r="C42">
        <v>33.24</v>
      </c>
      <c r="D42" t="s">
        <v>17</v>
      </c>
      <c r="E42" s="7" t="s">
        <v>75</v>
      </c>
    </row>
  </sheetData>
  <conditionalFormatting sqref="H4:I13">
    <cfRule type="cellIs" dxfId="11" priority="1" operator="greaterThan">
      <formula>1.01</formula>
    </cfRule>
    <cfRule type="cellIs" dxfId="10" priority="2" operator="greaterThan">
      <formula>101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0693E-EE48-474B-8886-02C801948DF2}">
  <dimension ref="A1:N27"/>
  <sheetViews>
    <sheetView workbookViewId="0">
      <selection activeCell="B21" sqref="B21"/>
    </sheetView>
  </sheetViews>
  <sheetFormatPr defaultColWidth="8.81640625" defaultRowHeight="14.5" x14ac:dyDescent="0.35"/>
  <cols>
    <col min="1" max="1" width="49.1796875" bestFit="1" customWidth="1"/>
    <col min="2" max="2" width="12.453125" customWidth="1"/>
    <col min="5" max="5" width="18.453125" bestFit="1" customWidth="1"/>
    <col min="7" max="7" width="8.54296875" bestFit="1" customWidth="1"/>
    <col min="8" max="8" width="15.7265625" bestFit="1" customWidth="1"/>
    <col min="9" max="9" width="22.26953125" customWidth="1"/>
    <col min="10" max="10" width="25.26953125" bestFit="1" customWidth="1"/>
    <col min="11" max="11" width="22.54296875" bestFit="1" customWidth="1"/>
    <col min="13" max="13" width="15.7265625" customWidth="1"/>
    <col min="14" max="14" width="49.1796875" bestFit="1" customWidth="1"/>
    <col min="17" max="17" width="11.81640625" bestFit="1" customWidth="1"/>
  </cols>
  <sheetData>
    <row r="1" spans="1:14" x14ac:dyDescent="0.35">
      <c r="A1" t="s">
        <v>27</v>
      </c>
    </row>
    <row r="3" spans="1:14" x14ac:dyDescent="0.35">
      <c r="A3" t="s">
        <v>0</v>
      </c>
      <c r="B3" t="s">
        <v>1</v>
      </c>
      <c r="C3" t="s">
        <v>29</v>
      </c>
      <c r="D3" t="s">
        <v>2</v>
      </c>
      <c r="E3" t="s">
        <v>173</v>
      </c>
      <c r="G3" t="s">
        <v>172</v>
      </c>
      <c r="H3" t="s">
        <v>84</v>
      </c>
      <c r="I3" t="s">
        <v>128</v>
      </c>
      <c r="L3" t="s">
        <v>110</v>
      </c>
    </row>
    <row r="4" spans="1:14" x14ac:dyDescent="0.35">
      <c r="A4" s="13" t="s">
        <v>3</v>
      </c>
      <c r="B4" s="13"/>
      <c r="C4">
        <v>6232</v>
      </c>
      <c r="H4" s="10">
        <f>ROUND(GEOMEAN(H6:H8)*L4,0)</f>
        <v>6232</v>
      </c>
      <c r="I4" s="9">
        <f t="shared" ref="I4:I11" si="0">MAX(C4,H4)/MIN(C4,H4)</f>
        <v>1</v>
      </c>
      <c r="J4" s="9"/>
      <c r="K4" t="str">
        <f>A4</f>
        <v>Overall Score (Standard)</v>
      </c>
      <c r="L4">
        <v>100</v>
      </c>
    </row>
    <row r="5" spans="1:14" x14ac:dyDescent="0.35">
      <c r="A5" s="13" t="s">
        <v>4</v>
      </c>
      <c r="B5" s="13"/>
      <c r="C5">
        <v>4841</v>
      </c>
      <c r="H5" s="10">
        <f>ROUND(GEOMEAN(H9:H11)*L5,0)</f>
        <v>4841</v>
      </c>
      <c r="I5" s="9">
        <f t="shared" si="0"/>
        <v>1</v>
      </c>
      <c r="J5" s="9"/>
      <c r="K5" t="str">
        <f>A5</f>
        <v>Overall Score (Extended)</v>
      </c>
      <c r="L5">
        <v>100</v>
      </c>
    </row>
    <row r="6" spans="1:14" x14ac:dyDescent="0.35">
      <c r="A6" s="13" t="s">
        <v>147</v>
      </c>
      <c r="B6" s="13" t="s">
        <v>148</v>
      </c>
      <c r="C6">
        <v>127</v>
      </c>
      <c r="H6" s="12">
        <f>GEOMEAN(C12:C16)*L9</f>
        <v>126.90084600192461</v>
      </c>
      <c r="I6" s="9">
        <f t="shared" si="0"/>
        <v>1.0007813501737719</v>
      </c>
      <c r="J6" s="9"/>
      <c r="K6" t="str">
        <f>A6</f>
        <v>2D Score (Standard)</v>
      </c>
      <c r="L6">
        <v>17</v>
      </c>
    </row>
    <row r="7" spans="1:14" x14ac:dyDescent="0.35">
      <c r="A7" s="13" t="s">
        <v>149</v>
      </c>
      <c r="B7" s="13" t="s">
        <v>150</v>
      </c>
      <c r="C7">
        <v>23.8</v>
      </c>
      <c r="G7" s="8"/>
      <c r="H7" s="12">
        <f>GEOMEAN(C21:C22)*L10</f>
        <v>23.790321561508996</v>
      </c>
      <c r="I7" s="9">
        <f t="shared" si="0"/>
        <v>1.0004068225167104</v>
      </c>
      <c r="K7" t="str">
        <f t="shared" ref="K7:K11" si="1">A7</f>
        <v>3D Score (Standard)</v>
      </c>
      <c r="L7">
        <v>21</v>
      </c>
    </row>
    <row r="8" spans="1:14" x14ac:dyDescent="0.35">
      <c r="A8" s="13" t="s">
        <v>151</v>
      </c>
      <c r="B8" s="13" t="s">
        <v>152</v>
      </c>
      <c r="C8">
        <v>80.2</v>
      </c>
      <c r="G8" s="8"/>
      <c r="H8" s="12">
        <f>GEOMEAN(C25:C26)*L11</f>
        <v>80.17387354992897</v>
      </c>
      <c r="I8" s="9">
        <f t="shared" si="0"/>
        <v>1.0003258723685686</v>
      </c>
      <c r="K8" t="str">
        <f t="shared" si="1"/>
        <v>Tracking Score (Standard)</v>
      </c>
      <c r="L8">
        <v>10</v>
      </c>
    </row>
    <row r="9" spans="1:14" x14ac:dyDescent="0.35">
      <c r="A9" s="13" t="s">
        <v>153</v>
      </c>
      <c r="B9" s="13" t="s">
        <v>148</v>
      </c>
      <c r="C9">
        <v>71.900000000000006</v>
      </c>
      <c r="G9" s="8"/>
      <c r="H9" s="12">
        <f>GEOMEAN(C12:C20)*L9</f>
        <v>71.869410720041685</v>
      </c>
      <c r="I9" s="9">
        <f t="shared" si="0"/>
        <v>1.0004256230801374</v>
      </c>
      <c r="K9" t="str">
        <f t="shared" si="1"/>
        <v>2D Score (Extended)</v>
      </c>
      <c r="L9">
        <v>17</v>
      </c>
    </row>
    <row r="10" spans="1:14" x14ac:dyDescent="0.35">
      <c r="A10" s="13" t="s">
        <v>154</v>
      </c>
      <c r="B10" s="13" t="s">
        <v>150</v>
      </c>
      <c r="C10">
        <v>21.6</v>
      </c>
      <c r="G10" s="8"/>
      <c r="H10" s="12">
        <f>GEOMEAN(C21:C24)*L10</f>
        <v>21.648632672068452</v>
      </c>
      <c r="I10" s="9">
        <f t="shared" si="0"/>
        <v>1.0022515125957616</v>
      </c>
      <c r="K10" t="str">
        <f t="shared" si="1"/>
        <v>3D Score (Extended)</v>
      </c>
      <c r="L10">
        <v>21</v>
      </c>
    </row>
    <row r="11" spans="1:14" x14ac:dyDescent="0.35">
      <c r="A11" s="13" t="s">
        <v>155</v>
      </c>
      <c r="B11" s="13" t="s">
        <v>152</v>
      </c>
      <c r="C11">
        <v>72.900000000000006</v>
      </c>
      <c r="G11" s="8"/>
      <c r="H11" s="12">
        <f>GEOMEAN(C25:C27)*L11</f>
        <v>72.911217205077662</v>
      </c>
      <c r="I11" s="9">
        <f t="shared" si="0"/>
        <v>1.0001538711258937</v>
      </c>
      <c r="K11" t="str">
        <f t="shared" si="1"/>
        <v>Tracking Score (Extended)</v>
      </c>
      <c r="L11">
        <v>10</v>
      </c>
      <c r="N11" s="3"/>
    </row>
    <row r="12" spans="1:14" x14ac:dyDescent="0.35">
      <c r="A12" t="s">
        <v>156</v>
      </c>
      <c r="B12" t="s">
        <v>148</v>
      </c>
      <c r="C12">
        <v>5.45</v>
      </c>
      <c r="D12" t="s">
        <v>17</v>
      </c>
      <c r="E12" s="5" t="s">
        <v>73</v>
      </c>
      <c r="G12" s="8">
        <f t="shared" ref="G12:G27" si="2">1/C12</f>
        <v>0.18348623853211007</v>
      </c>
      <c r="K12" s="3"/>
      <c r="N12" s="3"/>
    </row>
    <row r="13" spans="1:14" x14ac:dyDescent="0.35">
      <c r="A13" t="s">
        <v>157</v>
      </c>
      <c r="B13" t="s">
        <v>148</v>
      </c>
      <c r="C13">
        <v>17.64</v>
      </c>
      <c r="D13" t="s">
        <v>17</v>
      </c>
      <c r="E13" s="5" t="s">
        <v>73</v>
      </c>
      <c r="G13" s="8">
        <f t="shared" si="2"/>
        <v>5.6689342403628114E-2</v>
      </c>
      <c r="K13" s="3"/>
      <c r="N13" s="3"/>
    </row>
    <row r="14" spans="1:14" x14ac:dyDescent="0.35">
      <c r="A14" t="s">
        <v>158</v>
      </c>
      <c r="B14" t="s">
        <v>148</v>
      </c>
      <c r="C14">
        <v>7.91</v>
      </c>
      <c r="D14" t="s">
        <v>17</v>
      </c>
      <c r="E14" s="5" t="s">
        <v>73</v>
      </c>
      <c r="G14" s="8">
        <f t="shared" si="2"/>
        <v>0.12642225031605561</v>
      </c>
      <c r="K14" s="3"/>
      <c r="N14" s="3"/>
    </row>
    <row r="15" spans="1:14" x14ac:dyDescent="0.35">
      <c r="A15" t="s">
        <v>159</v>
      </c>
      <c r="B15" t="s">
        <v>148</v>
      </c>
      <c r="C15">
        <v>4.13</v>
      </c>
      <c r="D15" t="s">
        <v>17</v>
      </c>
      <c r="E15" s="5" t="s">
        <v>73</v>
      </c>
      <c r="G15" s="8">
        <f t="shared" si="2"/>
        <v>0.24213075060532688</v>
      </c>
      <c r="K15" s="3"/>
      <c r="N15" s="3"/>
    </row>
    <row r="16" spans="1:14" x14ac:dyDescent="0.35">
      <c r="A16" t="s">
        <v>160</v>
      </c>
      <c r="B16" t="s">
        <v>148</v>
      </c>
      <c r="C16">
        <v>7.38</v>
      </c>
      <c r="D16" t="s">
        <v>17</v>
      </c>
      <c r="E16" s="5" t="s">
        <v>73</v>
      </c>
      <c r="G16" s="8">
        <f t="shared" si="2"/>
        <v>0.13550135501355015</v>
      </c>
      <c r="K16" s="2"/>
    </row>
    <row r="17" spans="1:14" x14ac:dyDescent="0.35">
      <c r="A17" t="s">
        <v>161</v>
      </c>
      <c r="B17" t="s">
        <v>148</v>
      </c>
      <c r="C17">
        <v>0.5</v>
      </c>
      <c r="D17" t="s">
        <v>17</v>
      </c>
      <c r="E17" s="7" t="s">
        <v>75</v>
      </c>
      <c r="G17" s="8">
        <f t="shared" si="2"/>
        <v>2</v>
      </c>
      <c r="K17" s="2"/>
    </row>
    <row r="18" spans="1:14" x14ac:dyDescent="0.35">
      <c r="A18" t="s">
        <v>162</v>
      </c>
      <c r="B18" t="s">
        <v>148</v>
      </c>
      <c r="C18">
        <v>5.88</v>
      </c>
      <c r="D18" t="s">
        <v>17</v>
      </c>
      <c r="E18" s="7" t="s">
        <v>75</v>
      </c>
      <c r="G18" s="8">
        <f t="shared" si="2"/>
        <v>0.17006802721088435</v>
      </c>
      <c r="K18" s="2"/>
    </row>
    <row r="19" spans="1:14" x14ac:dyDescent="0.35">
      <c r="A19" t="s">
        <v>163</v>
      </c>
      <c r="B19" t="s">
        <v>148</v>
      </c>
      <c r="C19">
        <v>3.86</v>
      </c>
      <c r="D19" t="s">
        <v>17</v>
      </c>
      <c r="E19" s="7" t="s">
        <v>75</v>
      </c>
      <c r="G19" s="8">
        <f t="shared" si="2"/>
        <v>0.2590673575129534</v>
      </c>
      <c r="K19" s="2"/>
    </row>
    <row r="20" spans="1:14" x14ac:dyDescent="0.35">
      <c r="A20" t="s">
        <v>164</v>
      </c>
      <c r="B20" t="s">
        <v>148</v>
      </c>
      <c r="C20">
        <v>1.64</v>
      </c>
      <c r="D20" t="s">
        <v>17</v>
      </c>
      <c r="E20" s="7" t="s">
        <v>75</v>
      </c>
      <c r="G20" s="8">
        <f t="shared" si="2"/>
        <v>0.6097560975609756</v>
      </c>
      <c r="K20" s="2"/>
    </row>
    <row r="21" spans="1:14" x14ac:dyDescent="0.35">
      <c r="A21" t="s">
        <v>165</v>
      </c>
      <c r="B21" t="s">
        <v>150</v>
      </c>
      <c r="C21">
        <v>1.38</v>
      </c>
      <c r="D21" t="s">
        <v>17</v>
      </c>
      <c r="E21" s="5" t="s">
        <v>73</v>
      </c>
      <c r="G21" s="8">
        <f t="shared" si="2"/>
        <v>0.7246376811594204</v>
      </c>
      <c r="K21" s="4"/>
      <c r="N21" s="4"/>
    </row>
    <row r="22" spans="1:14" x14ac:dyDescent="0.35">
      <c r="A22" t="s">
        <v>166</v>
      </c>
      <c r="B22" t="s">
        <v>150</v>
      </c>
      <c r="C22">
        <v>0.93</v>
      </c>
      <c r="D22" t="s">
        <v>17</v>
      </c>
      <c r="E22" s="5" t="s">
        <v>73</v>
      </c>
      <c r="G22" s="8">
        <f t="shared" si="2"/>
        <v>1.075268817204301</v>
      </c>
    </row>
    <row r="23" spans="1:14" x14ac:dyDescent="0.35">
      <c r="A23" t="s">
        <v>167</v>
      </c>
      <c r="B23" t="s">
        <v>150</v>
      </c>
      <c r="C23">
        <v>0.8</v>
      </c>
      <c r="D23" t="s">
        <v>17</v>
      </c>
      <c r="E23" s="7" t="s">
        <v>75</v>
      </c>
      <c r="G23" s="8">
        <f t="shared" si="2"/>
        <v>1.25</v>
      </c>
    </row>
    <row r="24" spans="1:14" x14ac:dyDescent="0.35">
      <c r="A24" t="s">
        <v>168</v>
      </c>
      <c r="B24" t="s">
        <v>150</v>
      </c>
      <c r="C24">
        <v>1.1000000000000001</v>
      </c>
      <c r="D24" t="s">
        <v>17</v>
      </c>
      <c r="E24" s="7" t="s">
        <v>75</v>
      </c>
      <c r="G24" s="8">
        <f t="shared" si="2"/>
        <v>0.90909090909090906</v>
      </c>
    </row>
    <row r="25" spans="1:14" x14ac:dyDescent="0.35">
      <c r="A25" t="s">
        <v>169</v>
      </c>
      <c r="B25" t="s">
        <v>152</v>
      </c>
      <c r="C25">
        <v>3.41</v>
      </c>
      <c r="D25" t="s">
        <v>17</v>
      </c>
      <c r="E25" s="5" t="s">
        <v>73</v>
      </c>
      <c r="G25" s="8">
        <f t="shared" si="2"/>
        <v>0.29325513196480935</v>
      </c>
    </row>
    <row r="26" spans="1:14" x14ac:dyDescent="0.35">
      <c r="A26" t="s">
        <v>170</v>
      </c>
      <c r="B26" t="s">
        <v>152</v>
      </c>
      <c r="C26">
        <v>18.850000000000001</v>
      </c>
      <c r="D26" t="s">
        <v>17</v>
      </c>
      <c r="E26" s="5" t="s">
        <v>73</v>
      </c>
      <c r="G26" s="8">
        <f t="shared" si="2"/>
        <v>5.305039787798408E-2</v>
      </c>
    </row>
    <row r="27" spans="1:14" x14ac:dyDescent="0.35">
      <c r="A27" t="s">
        <v>171</v>
      </c>
      <c r="B27" t="s">
        <v>152</v>
      </c>
      <c r="C27">
        <v>6.03</v>
      </c>
      <c r="D27" t="s">
        <v>17</v>
      </c>
      <c r="E27" s="7" t="s">
        <v>75</v>
      </c>
      <c r="G27" s="8">
        <f t="shared" si="2"/>
        <v>0.16583747927031509</v>
      </c>
    </row>
  </sheetData>
  <conditionalFormatting sqref="I4:I11">
    <cfRule type="cellIs" dxfId="9" priority="1" operator="greaterThan">
      <formula>1.01</formula>
    </cfRule>
    <cfRule type="cellIs" dxfId="8" priority="2" operator="greaterThan">
      <formula>101</formula>
    </cfRule>
  </conditionalFormatting>
  <conditionalFormatting sqref="J4:J6 H12:I13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8D38F-993B-4605-8D61-02D142960444}">
  <dimension ref="A1:L34"/>
  <sheetViews>
    <sheetView workbookViewId="0">
      <selection activeCell="K21" sqref="K21"/>
    </sheetView>
  </sheetViews>
  <sheetFormatPr defaultRowHeight="14.5" x14ac:dyDescent="0.35"/>
  <cols>
    <col min="1" max="1" width="32" bestFit="1" customWidth="1"/>
    <col min="2" max="2" width="9.1796875" bestFit="1" customWidth="1"/>
    <col min="5" max="5" width="18.453125" bestFit="1" customWidth="1"/>
    <col min="8" max="8" width="15.7265625" bestFit="1" customWidth="1"/>
    <col min="9" max="9" width="10.453125" bestFit="1" customWidth="1"/>
    <col min="11" max="11" width="23.453125" bestFit="1" customWidth="1"/>
  </cols>
  <sheetData>
    <row r="1" spans="1:12" x14ac:dyDescent="0.35">
      <c r="A1" t="s">
        <v>27</v>
      </c>
    </row>
    <row r="3" spans="1:12" x14ac:dyDescent="0.35">
      <c r="A3" t="s">
        <v>0</v>
      </c>
      <c r="B3" t="s">
        <v>1</v>
      </c>
      <c r="C3" t="s">
        <v>29</v>
      </c>
      <c r="D3" t="s">
        <v>2</v>
      </c>
      <c r="E3" t="s">
        <v>173</v>
      </c>
      <c r="F3" t="s">
        <v>172</v>
      </c>
      <c r="H3" t="s">
        <v>84</v>
      </c>
      <c r="I3" t="s">
        <v>128</v>
      </c>
      <c r="L3" t="s">
        <v>110</v>
      </c>
    </row>
    <row r="4" spans="1:12" x14ac:dyDescent="0.35">
      <c r="A4" s="13" t="s">
        <v>3</v>
      </c>
      <c r="B4" s="13"/>
      <c r="C4">
        <v>9694</v>
      </c>
      <c r="H4" s="11">
        <f>ROUND(GEOMEAN(H6:H7)*L4,0)</f>
        <v>9694</v>
      </c>
      <c r="I4" s="9">
        <f>MAX(C4,H4)/MIN(C4,H4)</f>
        <v>1</v>
      </c>
      <c r="J4" s="9"/>
      <c r="K4" t="str">
        <f>A4</f>
        <v>Overall Score (Standard)</v>
      </c>
      <c r="L4">
        <v>100</v>
      </c>
    </row>
    <row r="5" spans="1:12" x14ac:dyDescent="0.35">
      <c r="A5" s="13" t="s">
        <v>4</v>
      </c>
      <c r="B5" s="13"/>
      <c r="C5">
        <v>7878</v>
      </c>
      <c r="H5" s="11">
        <f>ROUND(GEOMEAN(H9:H12)*L5,0)</f>
        <v>7878</v>
      </c>
      <c r="I5" s="9">
        <f t="shared" ref="I5:I11" si="0">MAX(C5,H5)/MIN(C5,H5)</f>
        <v>1</v>
      </c>
      <c r="J5" s="9"/>
      <c r="K5" t="str">
        <f>A5</f>
        <v>Overall Score (Extended)</v>
      </c>
      <c r="L5">
        <v>100</v>
      </c>
    </row>
    <row r="6" spans="1:12" x14ac:dyDescent="0.35">
      <c r="A6" s="13" t="s">
        <v>131</v>
      </c>
      <c r="B6" s="13" t="s">
        <v>132</v>
      </c>
      <c r="C6">
        <v>127</v>
      </c>
      <c r="H6" s="11">
        <f>ROUND(GEOMEAN(F13:F16)*L6,0)</f>
        <v>127</v>
      </c>
      <c r="I6" s="9">
        <f t="shared" si="0"/>
        <v>1</v>
      </c>
      <c r="J6" s="9"/>
      <c r="K6" t="str">
        <f>A6</f>
        <v>Canon Score (Standard)</v>
      </c>
      <c r="L6">
        <v>2000</v>
      </c>
    </row>
    <row r="7" spans="1:12" x14ac:dyDescent="0.35">
      <c r="A7" s="13" t="s">
        <v>174</v>
      </c>
      <c r="B7" s="13" t="s">
        <v>175</v>
      </c>
      <c r="C7">
        <v>74</v>
      </c>
      <c r="H7" s="11">
        <f>ROUND(GEOMEAN(F17:F20)*L7,0)</f>
        <v>74</v>
      </c>
      <c r="I7" s="9">
        <f t="shared" si="0"/>
        <v>1</v>
      </c>
      <c r="K7" t="str">
        <f t="shared" ref="K7:K11" si="1">A7</f>
        <v>Panasonic Score (Standard)</v>
      </c>
      <c r="L7">
        <f>L6</f>
        <v>2000</v>
      </c>
    </row>
    <row r="8" spans="1:12" x14ac:dyDescent="0.35">
      <c r="A8" s="13" t="s">
        <v>134</v>
      </c>
      <c r="B8" s="13" t="s">
        <v>132</v>
      </c>
      <c r="C8">
        <v>127</v>
      </c>
      <c r="H8" s="11">
        <f>ROUND(GEOMEAN(F13:F16)*L8,0)</f>
        <v>127</v>
      </c>
      <c r="I8" s="9">
        <f t="shared" si="0"/>
        <v>1</v>
      </c>
      <c r="K8" t="str">
        <f t="shared" si="1"/>
        <v>Canon Score (Extended)</v>
      </c>
      <c r="L8">
        <f t="shared" ref="L8:L11" si="2">L7</f>
        <v>2000</v>
      </c>
    </row>
    <row r="9" spans="1:12" x14ac:dyDescent="0.35">
      <c r="A9" s="13" t="s">
        <v>176</v>
      </c>
      <c r="B9" s="13" t="s">
        <v>175</v>
      </c>
      <c r="C9">
        <v>74</v>
      </c>
      <c r="H9" s="11">
        <f>ROUND(GEOMEAN(F17:F20)*L9,0)</f>
        <v>74</v>
      </c>
      <c r="I9" s="9">
        <f t="shared" si="0"/>
        <v>1</v>
      </c>
      <c r="K9" t="str">
        <f t="shared" si="1"/>
        <v>Panasonic Score (Extended)</v>
      </c>
      <c r="L9">
        <f t="shared" si="2"/>
        <v>2000</v>
      </c>
    </row>
    <row r="10" spans="1:12" x14ac:dyDescent="0.35">
      <c r="A10" s="13" t="s">
        <v>135</v>
      </c>
      <c r="B10" s="13" t="s">
        <v>133</v>
      </c>
      <c r="C10">
        <v>74</v>
      </c>
      <c r="H10" s="11">
        <f>ROUND(GEOMEAN(F21:F24)*L10,0)</f>
        <v>74</v>
      </c>
      <c r="I10" s="9">
        <f t="shared" si="0"/>
        <v>1</v>
      </c>
      <c r="K10" t="str">
        <f t="shared" si="1"/>
        <v>Sony Score (Extended)</v>
      </c>
      <c r="L10">
        <f t="shared" si="2"/>
        <v>2000</v>
      </c>
    </row>
    <row r="11" spans="1:12" x14ac:dyDescent="0.35">
      <c r="A11" s="13" t="s">
        <v>136</v>
      </c>
      <c r="B11" s="13" t="s">
        <v>137</v>
      </c>
      <c r="C11">
        <v>67</v>
      </c>
      <c r="H11" s="11">
        <f>ROUND(GEOMEAN(F25:F28)*L11,0)</f>
        <v>67</v>
      </c>
      <c r="I11" s="9">
        <f t="shared" si="0"/>
        <v>1</v>
      </c>
      <c r="K11" t="str">
        <f t="shared" si="1"/>
        <v>Nikon Score (Extended)</v>
      </c>
      <c r="L11">
        <f t="shared" si="2"/>
        <v>2000</v>
      </c>
    </row>
    <row r="12" spans="1:12" x14ac:dyDescent="0.35">
      <c r="A12" s="13" t="s">
        <v>34</v>
      </c>
      <c r="B12" s="13" t="s">
        <v>35</v>
      </c>
      <c r="C12">
        <v>105</v>
      </c>
      <c r="H12" s="11">
        <f>ROUND(GEOMEAN(F29:F34)*L12,0)</f>
        <v>105</v>
      </c>
      <c r="I12" s="9">
        <f t="shared" ref="I12" si="3">MAX(C12,H12)/MIN(C12,H12)</f>
        <v>1</v>
      </c>
      <c r="K12" s="2" t="s">
        <v>34</v>
      </c>
      <c r="L12">
        <v>450</v>
      </c>
    </row>
    <row r="13" spans="1:12" x14ac:dyDescent="0.35">
      <c r="A13" t="s">
        <v>177</v>
      </c>
      <c r="B13" t="s">
        <v>132</v>
      </c>
      <c r="C13">
        <v>4.51</v>
      </c>
      <c r="D13" t="s">
        <v>111</v>
      </c>
      <c r="E13" s="5" t="s">
        <v>73</v>
      </c>
      <c r="F13" s="8">
        <f t="shared" ref="F13:F34" si="4">1/C13</f>
        <v>0.22172949002217296</v>
      </c>
      <c r="K13" s="2"/>
    </row>
    <row r="14" spans="1:12" x14ac:dyDescent="0.35">
      <c r="A14" t="s">
        <v>138</v>
      </c>
      <c r="B14" t="s">
        <v>132</v>
      </c>
      <c r="C14">
        <v>19.18</v>
      </c>
      <c r="D14" t="s">
        <v>111</v>
      </c>
      <c r="E14" s="5" t="s">
        <v>73</v>
      </c>
      <c r="F14" s="8">
        <f t="shared" si="4"/>
        <v>5.213764337851929E-2</v>
      </c>
      <c r="K14" s="3"/>
    </row>
    <row r="15" spans="1:12" x14ac:dyDescent="0.35">
      <c r="A15" t="s">
        <v>141</v>
      </c>
      <c r="B15" t="s">
        <v>132</v>
      </c>
      <c r="C15">
        <v>37.130000000000003</v>
      </c>
      <c r="D15" t="s">
        <v>111</v>
      </c>
      <c r="E15" s="5" t="s">
        <v>73</v>
      </c>
      <c r="F15" s="8">
        <f t="shared" si="4"/>
        <v>2.6932399676811204E-2</v>
      </c>
      <c r="K15" s="3"/>
    </row>
    <row r="16" spans="1:12" x14ac:dyDescent="0.35">
      <c r="A16" t="s">
        <v>144</v>
      </c>
      <c r="B16" t="s">
        <v>132</v>
      </c>
      <c r="C16">
        <v>19.03</v>
      </c>
      <c r="D16" t="s">
        <v>111</v>
      </c>
      <c r="E16" s="5" t="s">
        <v>73</v>
      </c>
      <c r="F16" s="8">
        <f t="shared" si="4"/>
        <v>5.2548607461902257E-2</v>
      </c>
      <c r="K16" s="2"/>
    </row>
    <row r="17" spans="1:11" x14ac:dyDescent="0.35">
      <c r="A17" t="s">
        <v>178</v>
      </c>
      <c r="B17" t="s">
        <v>175</v>
      </c>
      <c r="C17">
        <v>6</v>
      </c>
      <c r="D17" t="s">
        <v>111</v>
      </c>
      <c r="E17" s="5" t="s">
        <v>73</v>
      </c>
      <c r="F17" s="8">
        <f t="shared" si="4"/>
        <v>0.16666666666666666</v>
      </c>
      <c r="K17" s="2"/>
    </row>
    <row r="18" spans="1:11" x14ac:dyDescent="0.35">
      <c r="A18" t="s">
        <v>179</v>
      </c>
      <c r="B18" t="s">
        <v>175</v>
      </c>
      <c r="C18">
        <v>62.67</v>
      </c>
      <c r="D18" t="s">
        <v>111</v>
      </c>
      <c r="E18" s="5" t="s">
        <v>73</v>
      </c>
      <c r="F18" s="8">
        <f t="shared" si="4"/>
        <v>1.5956598053295037E-2</v>
      </c>
      <c r="K18" s="2"/>
    </row>
    <row r="19" spans="1:11" x14ac:dyDescent="0.35">
      <c r="A19" t="s">
        <v>180</v>
      </c>
      <c r="B19" t="s">
        <v>175</v>
      </c>
      <c r="C19">
        <v>22.2</v>
      </c>
      <c r="D19" t="s">
        <v>111</v>
      </c>
      <c r="E19" s="5" t="s">
        <v>73</v>
      </c>
      <c r="F19" s="8">
        <f t="shared" si="4"/>
        <v>4.504504504504505E-2</v>
      </c>
      <c r="K19" s="2"/>
    </row>
    <row r="20" spans="1:11" x14ac:dyDescent="0.35">
      <c r="A20" t="s">
        <v>181</v>
      </c>
      <c r="B20" t="s">
        <v>175</v>
      </c>
      <c r="C20">
        <v>63.19</v>
      </c>
      <c r="D20" t="s">
        <v>111</v>
      </c>
      <c r="E20" s="5" t="s">
        <v>73</v>
      </c>
      <c r="F20" s="8">
        <f t="shared" si="4"/>
        <v>1.5825288811520812E-2</v>
      </c>
      <c r="K20" s="2"/>
    </row>
    <row r="21" spans="1:11" x14ac:dyDescent="0.35">
      <c r="A21" t="s">
        <v>182</v>
      </c>
      <c r="B21" t="s">
        <v>133</v>
      </c>
      <c r="C21">
        <v>4.57</v>
      </c>
      <c r="D21" t="s">
        <v>111</v>
      </c>
      <c r="E21" s="7" t="s">
        <v>75</v>
      </c>
      <c r="F21" s="8">
        <f t="shared" si="4"/>
        <v>0.21881838074398249</v>
      </c>
      <c r="K21" s="4"/>
    </row>
    <row r="22" spans="1:11" x14ac:dyDescent="0.35">
      <c r="A22" t="s">
        <v>139</v>
      </c>
      <c r="B22" t="s">
        <v>133</v>
      </c>
      <c r="C22">
        <v>112.84</v>
      </c>
      <c r="D22" t="s">
        <v>111</v>
      </c>
      <c r="E22" s="7" t="s">
        <v>75</v>
      </c>
      <c r="F22" s="8">
        <f t="shared" si="4"/>
        <v>8.8621056362991838E-3</v>
      </c>
    </row>
    <row r="23" spans="1:11" x14ac:dyDescent="0.35">
      <c r="A23" t="s">
        <v>142</v>
      </c>
      <c r="B23" t="s">
        <v>133</v>
      </c>
      <c r="C23">
        <v>28.48</v>
      </c>
      <c r="D23" t="s">
        <v>111</v>
      </c>
      <c r="E23" s="7" t="s">
        <v>75</v>
      </c>
      <c r="F23" s="8">
        <f t="shared" si="4"/>
        <v>3.51123595505618E-2</v>
      </c>
    </row>
    <row r="24" spans="1:11" x14ac:dyDescent="0.35">
      <c r="A24" t="s">
        <v>145</v>
      </c>
      <c r="B24" t="s">
        <v>133</v>
      </c>
      <c r="C24">
        <v>36.01</v>
      </c>
      <c r="D24" t="s">
        <v>111</v>
      </c>
      <c r="E24" s="7" t="s">
        <v>75</v>
      </c>
      <c r="F24" s="8">
        <f t="shared" si="4"/>
        <v>2.7770063871146906E-2</v>
      </c>
    </row>
    <row r="25" spans="1:11" x14ac:dyDescent="0.35">
      <c r="A25" t="s">
        <v>183</v>
      </c>
      <c r="B25" t="s">
        <v>137</v>
      </c>
      <c r="C25">
        <v>5.49</v>
      </c>
      <c r="D25" t="s">
        <v>111</v>
      </c>
      <c r="E25" s="7" t="s">
        <v>75</v>
      </c>
      <c r="F25" s="8">
        <f t="shared" si="4"/>
        <v>0.18214936247723132</v>
      </c>
    </row>
    <row r="26" spans="1:11" x14ac:dyDescent="0.35">
      <c r="A26" t="s">
        <v>140</v>
      </c>
      <c r="B26" t="s">
        <v>137</v>
      </c>
      <c r="C26">
        <v>129.97</v>
      </c>
      <c r="D26" t="s">
        <v>111</v>
      </c>
      <c r="E26" s="7" t="s">
        <v>75</v>
      </c>
      <c r="F26" s="8">
        <f t="shared" si="4"/>
        <v>7.6940832499807653E-3</v>
      </c>
    </row>
    <row r="27" spans="1:11" x14ac:dyDescent="0.35">
      <c r="A27" t="s">
        <v>143</v>
      </c>
      <c r="B27" t="s">
        <v>137</v>
      </c>
      <c r="C27">
        <v>21.79</v>
      </c>
      <c r="D27" t="s">
        <v>111</v>
      </c>
      <c r="E27" s="7" t="s">
        <v>75</v>
      </c>
      <c r="F27" s="8">
        <f t="shared" si="4"/>
        <v>4.5892611289582379E-2</v>
      </c>
    </row>
    <row r="28" spans="1:11" x14ac:dyDescent="0.35">
      <c r="A28" t="s">
        <v>146</v>
      </c>
      <c r="B28" t="s">
        <v>137</v>
      </c>
      <c r="C28">
        <v>51.49</v>
      </c>
      <c r="D28" t="s">
        <v>111</v>
      </c>
      <c r="E28" s="7" t="s">
        <v>75</v>
      </c>
      <c r="F28" s="8">
        <f t="shared" si="4"/>
        <v>1.9421246844047387E-2</v>
      </c>
    </row>
    <row r="29" spans="1:11" x14ac:dyDescent="0.35">
      <c r="A29" t="s">
        <v>184</v>
      </c>
      <c r="B29" t="s">
        <v>35</v>
      </c>
      <c r="C29">
        <v>2.2599999999999998</v>
      </c>
      <c r="D29" t="s">
        <v>111</v>
      </c>
      <c r="E29" s="7" t="s">
        <v>75</v>
      </c>
      <c r="F29" s="8">
        <f t="shared" si="4"/>
        <v>0.44247787610619471</v>
      </c>
    </row>
    <row r="30" spans="1:11" x14ac:dyDescent="0.35">
      <c r="A30" t="s">
        <v>185</v>
      </c>
      <c r="B30" t="s">
        <v>35</v>
      </c>
      <c r="C30">
        <v>1.69</v>
      </c>
      <c r="D30" t="s">
        <v>111</v>
      </c>
      <c r="E30" s="7" t="s">
        <v>75</v>
      </c>
      <c r="F30" s="8">
        <f t="shared" si="4"/>
        <v>0.59171597633136097</v>
      </c>
    </row>
    <row r="31" spans="1:11" x14ac:dyDescent="0.35">
      <c r="A31" t="s">
        <v>186</v>
      </c>
      <c r="B31" t="s">
        <v>35</v>
      </c>
      <c r="C31">
        <v>10.87</v>
      </c>
      <c r="D31" t="s">
        <v>111</v>
      </c>
      <c r="E31" s="7" t="s">
        <v>75</v>
      </c>
      <c r="F31" s="8">
        <f t="shared" si="4"/>
        <v>9.1996320147194124E-2</v>
      </c>
    </row>
    <row r="32" spans="1:11" x14ac:dyDescent="0.35">
      <c r="A32" t="s">
        <v>187</v>
      </c>
      <c r="B32" t="s">
        <v>35</v>
      </c>
      <c r="C32">
        <v>9.65</v>
      </c>
      <c r="D32" t="s">
        <v>111</v>
      </c>
      <c r="E32" s="7" t="s">
        <v>75</v>
      </c>
      <c r="F32" s="8">
        <f t="shared" si="4"/>
        <v>0.10362694300518134</v>
      </c>
    </row>
    <row r="33" spans="1:6" x14ac:dyDescent="0.35">
      <c r="A33" t="s">
        <v>188</v>
      </c>
      <c r="B33" t="s">
        <v>35</v>
      </c>
      <c r="C33">
        <v>2.35</v>
      </c>
      <c r="D33" t="s">
        <v>111</v>
      </c>
      <c r="E33" s="7" t="s">
        <v>75</v>
      </c>
      <c r="F33" s="8">
        <f t="shared" si="4"/>
        <v>0.42553191489361702</v>
      </c>
    </row>
    <row r="34" spans="1:6" x14ac:dyDescent="0.35">
      <c r="A34" t="s">
        <v>189</v>
      </c>
      <c r="B34" t="s">
        <v>35</v>
      </c>
      <c r="C34">
        <v>6.74</v>
      </c>
      <c r="D34" t="s">
        <v>111</v>
      </c>
      <c r="E34" s="7" t="s">
        <v>75</v>
      </c>
      <c r="F34" s="8">
        <f t="shared" si="4"/>
        <v>0.14836795252225518</v>
      </c>
    </row>
  </sheetData>
  <conditionalFormatting sqref="I4:I12">
    <cfRule type="cellIs" dxfId="7" priority="1" operator="greaterThan">
      <formula>1.01</formula>
    </cfRule>
    <cfRule type="cellIs" dxfId="6" priority="2" operator="greaterThan">
      <formula>101</formula>
    </cfRule>
  </conditionalFormatting>
  <conditionalFormatting sqref="J4:J6 I13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23D10-22CA-4622-A134-03907986C158}">
  <dimension ref="A1:M81"/>
  <sheetViews>
    <sheetView workbookViewId="0">
      <selection activeCell="I14" sqref="I14"/>
    </sheetView>
  </sheetViews>
  <sheetFormatPr defaultColWidth="8.81640625" defaultRowHeight="14.5" x14ac:dyDescent="0.35"/>
  <cols>
    <col min="1" max="1" width="49.1796875" bestFit="1" customWidth="1"/>
    <col min="2" max="2" width="12.453125" customWidth="1"/>
    <col min="5" max="5" width="23.81640625" bestFit="1" customWidth="1"/>
    <col min="6" max="6" width="8.36328125" customWidth="1"/>
    <col min="7" max="8" width="22.26953125" customWidth="1"/>
    <col min="9" max="9" width="25.26953125" bestFit="1" customWidth="1"/>
    <col min="12" max="12" width="15.7265625" customWidth="1"/>
    <col min="13" max="13" width="49.1796875" bestFit="1" customWidth="1"/>
    <col min="16" max="16" width="11.81640625" bestFit="1" customWidth="1"/>
  </cols>
  <sheetData>
    <row r="1" spans="1:13" x14ac:dyDescent="0.35">
      <c r="A1" t="s">
        <v>27</v>
      </c>
    </row>
    <row r="3" spans="1:13" x14ac:dyDescent="0.35">
      <c r="A3" t="s">
        <v>0</v>
      </c>
      <c r="B3" t="s">
        <v>1</v>
      </c>
      <c r="C3" t="s">
        <v>29</v>
      </c>
      <c r="D3" t="s">
        <v>2</v>
      </c>
      <c r="E3" t="s">
        <v>173</v>
      </c>
      <c r="G3" t="s">
        <v>84</v>
      </c>
      <c r="H3" t="s">
        <v>128</v>
      </c>
      <c r="K3" t="s">
        <v>110</v>
      </c>
    </row>
    <row r="4" spans="1:13" x14ac:dyDescent="0.35">
      <c r="A4" s="19" t="s">
        <v>30</v>
      </c>
      <c r="B4" s="17"/>
      <c r="C4" s="17">
        <v>125135</v>
      </c>
      <c r="G4" s="10">
        <f>ROUND(GEOMEAN(G19:G22)*'DaVinci Resolve 2.0.0'!$K$4,0)</f>
        <v>125135</v>
      </c>
      <c r="H4" s="9">
        <f t="shared" ref="H4:H18" si="0">MAX(C4,G4)/MIN(C4,G4)</f>
        <v>1</v>
      </c>
      <c r="I4" s="9"/>
      <c r="J4" t="s">
        <v>129</v>
      </c>
      <c r="K4">
        <v>1000</v>
      </c>
    </row>
    <row r="5" spans="1:13" x14ac:dyDescent="0.35">
      <c r="A5" s="20" t="s">
        <v>3</v>
      </c>
      <c r="B5" s="17"/>
      <c r="C5" s="17">
        <v>101357</v>
      </c>
      <c r="G5" s="10">
        <f>ROUND(GEOMEAN(G7:G12)*$K$4,0)</f>
        <v>101205</v>
      </c>
      <c r="H5" s="9">
        <f t="shared" si="0"/>
        <v>1.0015019020799367</v>
      </c>
      <c r="I5" s="9"/>
      <c r="J5" t="s">
        <v>6</v>
      </c>
      <c r="K5" s="2">
        <v>0.85</v>
      </c>
    </row>
    <row r="6" spans="1:13" x14ac:dyDescent="0.35">
      <c r="A6" s="18" t="s">
        <v>4</v>
      </c>
      <c r="B6" s="17"/>
      <c r="C6" s="17">
        <v>72001</v>
      </c>
      <c r="G6" s="10">
        <f>ROUND(GEOMEAN(G13:G18)*K4,0)</f>
        <v>72001</v>
      </c>
      <c r="H6" s="9">
        <f t="shared" si="0"/>
        <v>1</v>
      </c>
      <c r="I6" s="9"/>
      <c r="J6" t="s">
        <v>130</v>
      </c>
      <c r="K6" s="2">
        <v>0.38</v>
      </c>
    </row>
    <row r="7" spans="1:13" x14ac:dyDescent="0.35">
      <c r="A7" s="20" t="s">
        <v>5</v>
      </c>
      <c r="B7" s="17" t="s">
        <v>6</v>
      </c>
      <c r="C7" s="17">
        <v>59.8</v>
      </c>
      <c r="D7" s="1"/>
      <c r="G7" s="11">
        <f>GEOMEAN(GEOMEAN(C23,C32:C33),GEOMEAN(C24),GEOMEAN(C50))*K5</f>
        <v>59.229581070568109</v>
      </c>
      <c r="H7" s="9">
        <f t="shared" si="0"/>
        <v>1.0096306426471644</v>
      </c>
      <c r="I7" s="9"/>
      <c r="J7" t="s">
        <v>10</v>
      </c>
      <c r="K7" s="2">
        <v>0.92</v>
      </c>
      <c r="M7" s="3"/>
    </row>
    <row r="8" spans="1:13" x14ac:dyDescent="0.35">
      <c r="A8" s="20" t="s">
        <v>7</v>
      </c>
      <c r="B8" s="17" t="s">
        <v>8</v>
      </c>
      <c r="C8" s="17">
        <v>84.9</v>
      </c>
      <c r="D8" s="1"/>
      <c r="G8" s="11">
        <f>GEOMEAN(GEOMEAN(C26:C27,C38:C39),GEOMEAN(C29:C30,C37,C40:C41))*K6</f>
        <v>84.89970058859933</v>
      </c>
      <c r="H8" s="9">
        <f t="shared" si="0"/>
        <v>1.0000035266484875</v>
      </c>
      <c r="I8" s="9"/>
      <c r="J8" t="s">
        <v>12</v>
      </c>
      <c r="K8" s="2">
        <v>2.2999999999999998</v>
      </c>
      <c r="M8" s="3"/>
    </row>
    <row r="9" spans="1:13" x14ac:dyDescent="0.35">
      <c r="A9" s="20" t="s">
        <v>9</v>
      </c>
      <c r="B9" s="17" t="s">
        <v>10</v>
      </c>
      <c r="C9" s="17">
        <v>123</v>
      </c>
      <c r="D9" s="1"/>
      <c r="G9" s="11">
        <f>GEOMEAN(C42,C46,GEOMEAN(C47))*K7</f>
        <v>122.59018055891528</v>
      </c>
      <c r="H9" s="9">
        <f t="shared" si="0"/>
        <v>1.0033430038133255</v>
      </c>
      <c r="I9" s="9"/>
      <c r="J9" t="s">
        <v>32</v>
      </c>
      <c r="K9" s="2">
        <v>3.5</v>
      </c>
      <c r="M9" s="3"/>
    </row>
    <row r="10" spans="1:13" x14ac:dyDescent="0.35">
      <c r="A10" s="20" t="s">
        <v>11</v>
      </c>
      <c r="B10" s="17" t="s">
        <v>12</v>
      </c>
      <c r="C10" s="17">
        <v>117</v>
      </c>
      <c r="G10" s="11">
        <f>GEOMEAN(C53:C57)*K8</f>
        <v>116.53544915729013</v>
      </c>
      <c r="H10" s="9">
        <f t="shared" si="0"/>
        <v>1.0039863478973068</v>
      </c>
      <c r="J10" t="s">
        <v>35</v>
      </c>
      <c r="K10" s="2">
        <v>1.5</v>
      </c>
      <c r="M10" s="3"/>
    </row>
    <row r="11" spans="1:13" x14ac:dyDescent="0.35">
      <c r="A11" s="20" t="s">
        <v>31</v>
      </c>
      <c r="B11" s="17" t="s">
        <v>32</v>
      </c>
      <c r="C11" s="17">
        <v>171</v>
      </c>
      <c r="G11" s="11">
        <f>GEOMEAN(C62:C65)*K9</f>
        <v>170.91503048721461</v>
      </c>
      <c r="H11" s="9">
        <f t="shared" si="0"/>
        <v>1.0004971447656954</v>
      </c>
      <c r="M11" s="3"/>
    </row>
    <row r="12" spans="1:13" x14ac:dyDescent="0.35">
      <c r="A12" s="20" t="s">
        <v>208</v>
      </c>
      <c r="B12" s="17" t="s">
        <v>35</v>
      </c>
      <c r="C12" s="17">
        <v>87.5</v>
      </c>
      <c r="G12" s="11">
        <f>GEOMEAN(GEOMEAN(C68,C70),GEOMEAN(C76,C78))*K10</f>
        <v>87.513503862324541</v>
      </c>
      <c r="H12" s="9">
        <f t="shared" si="0"/>
        <v>1.0001543298551376</v>
      </c>
    </row>
    <row r="13" spans="1:13" x14ac:dyDescent="0.35">
      <c r="A13" s="18" t="s">
        <v>13</v>
      </c>
      <c r="B13" s="17" t="s">
        <v>6</v>
      </c>
      <c r="C13" s="17">
        <v>50.7</v>
      </c>
      <c r="G13" s="11">
        <f>GEOMEAN(GEOMEAN(C23,C32:C33),GEOMEAN(C24:C25,C34:C36),GEOMEAN(C50:C51))*K5</f>
        <v>50.692918389347696</v>
      </c>
      <c r="H13" s="9">
        <f t="shared" si="0"/>
        <v>1.0001396962510209</v>
      </c>
    </row>
    <row r="14" spans="1:13" x14ac:dyDescent="0.35">
      <c r="A14" s="18" t="s">
        <v>14</v>
      </c>
      <c r="B14" s="17" t="s">
        <v>8</v>
      </c>
      <c r="C14" s="17">
        <v>45.6</v>
      </c>
      <c r="G14" s="11">
        <f>GEOMEAN(GEOMEAN(C26:C28,C38:C39),GEOMEAN(C29:C31,C37,C40:C41),GEOMEAN(C52))*K6</f>
        <v>45.589406118258978</v>
      </c>
      <c r="H14" s="9">
        <f t="shared" si="0"/>
        <v>1.0002323759540439</v>
      </c>
    </row>
    <row r="15" spans="1:13" x14ac:dyDescent="0.35">
      <c r="A15" s="18" t="s">
        <v>15</v>
      </c>
      <c r="B15" s="17" t="s">
        <v>10</v>
      </c>
      <c r="C15" s="17">
        <v>107</v>
      </c>
      <c r="G15" s="11">
        <f>GEOMEAN(C42,C43,C44,C45,C46,GEOMEAN(C47:C49))*K7</f>
        <v>106.73342641124796</v>
      </c>
      <c r="H15" s="9">
        <f t="shared" si="0"/>
        <v>1.0024975642375138</v>
      </c>
    </row>
    <row r="16" spans="1:13" x14ac:dyDescent="0.35">
      <c r="A16" s="18" t="s">
        <v>16</v>
      </c>
      <c r="B16" s="17" t="s">
        <v>12</v>
      </c>
      <c r="C16" s="17">
        <v>84.6</v>
      </c>
      <c r="G16" s="11">
        <f>GEOMEAN(C53:C61)*K8</f>
        <v>84.5673415615246</v>
      </c>
      <c r="H16" s="9">
        <f t="shared" si="0"/>
        <v>1.0003861826311713</v>
      </c>
    </row>
    <row r="17" spans="1:13" x14ac:dyDescent="0.35">
      <c r="A17" s="18" t="s">
        <v>33</v>
      </c>
      <c r="B17" s="17" t="s">
        <v>32</v>
      </c>
      <c r="C17" s="17">
        <v>105</v>
      </c>
      <c r="G17" s="11">
        <f>GEOMEAN(C62:C67)*K9</f>
        <v>104.65126759480404</v>
      </c>
      <c r="H17" s="9">
        <f t="shared" si="0"/>
        <v>1.0033323285346738</v>
      </c>
      <c r="M17" s="4"/>
    </row>
    <row r="18" spans="1:13" x14ac:dyDescent="0.35">
      <c r="A18" s="18" t="s">
        <v>34</v>
      </c>
      <c r="B18" s="17" t="s">
        <v>35</v>
      </c>
      <c r="C18" s="17">
        <v>63.8</v>
      </c>
      <c r="G18" s="11">
        <f>GEOMEAN(GEOMEAN(C68:C74),GEOMEAN(C75:C81))*K10</f>
        <v>63.822006496795488</v>
      </c>
      <c r="H18" s="9">
        <f t="shared" si="0"/>
        <v>1.0003449294168572</v>
      </c>
      <c r="I18" s="9"/>
    </row>
    <row r="19" spans="1:13" x14ac:dyDescent="0.35">
      <c r="A19" s="15" t="s">
        <v>76</v>
      </c>
      <c r="B19" s="15" t="s">
        <v>80</v>
      </c>
      <c r="C19" s="17"/>
      <c r="G19" s="16">
        <f>GEOMEAN(GEOMEAN(C23,C32),GEOMEAN(C24))*$K5</f>
        <v>89.482813376011904</v>
      </c>
      <c r="H19" s="9"/>
      <c r="I19" s="9"/>
    </row>
    <row r="20" spans="1:13" x14ac:dyDescent="0.35">
      <c r="A20" s="15" t="s">
        <v>77</v>
      </c>
      <c r="B20" s="15" t="s">
        <v>80</v>
      </c>
      <c r="C20" s="17"/>
      <c r="G20" s="16">
        <f>GEOMEAN(GEOMEAN(C26:C27,C38:C39),GEOMEAN(C29:C30,C37,C40))*$K6</f>
        <v>93.579061065958271</v>
      </c>
      <c r="H20" s="9"/>
      <c r="I20" s="9"/>
    </row>
    <row r="21" spans="1:13" x14ac:dyDescent="0.35">
      <c r="A21" s="15" t="s">
        <v>78</v>
      </c>
      <c r="B21" s="15" t="s">
        <v>80</v>
      </c>
      <c r="C21" s="17"/>
      <c r="G21" s="16">
        <f>GEOMEAN(GEOMEAN(C46),GEOMEAN(C47))*$K7</f>
        <v>115.41236496251172</v>
      </c>
      <c r="H21" s="9"/>
      <c r="I21" s="9"/>
    </row>
    <row r="22" spans="1:13" x14ac:dyDescent="0.35">
      <c r="A22" s="15" t="s">
        <v>79</v>
      </c>
      <c r="B22" s="15" t="s">
        <v>80</v>
      </c>
      <c r="C22" s="17"/>
      <c r="G22" s="16">
        <f>GEOMEAN(C62:C63)*'DaVinci Resolve 2.0.0'!$K9</f>
        <v>253.71639777515367</v>
      </c>
      <c r="H22" s="9"/>
      <c r="I22" s="9"/>
    </row>
    <row r="23" spans="1:13" x14ac:dyDescent="0.35">
      <c r="A23" s="19" t="s">
        <v>82</v>
      </c>
      <c r="B23" t="s">
        <v>6</v>
      </c>
      <c r="C23">
        <v>93.37</v>
      </c>
      <c r="D23" t="s">
        <v>17</v>
      </c>
      <c r="E23" s="6" t="s">
        <v>74</v>
      </c>
      <c r="H23" s="9"/>
      <c r="I23" s="9"/>
    </row>
    <row r="24" spans="1:13" x14ac:dyDescent="0.35">
      <c r="A24" s="19" t="s">
        <v>83</v>
      </c>
      <c r="B24" t="s">
        <v>6</v>
      </c>
      <c r="C24">
        <v>93.55</v>
      </c>
      <c r="D24" t="s">
        <v>17</v>
      </c>
      <c r="E24" s="6" t="s">
        <v>74</v>
      </c>
      <c r="H24" s="9"/>
      <c r="I24" s="9"/>
    </row>
    <row r="25" spans="1:13" x14ac:dyDescent="0.35">
      <c r="A25" s="18" t="s">
        <v>81</v>
      </c>
      <c r="B25" t="s">
        <v>6</v>
      </c>
      <c r="C25">
        <v>88.63</v>
      </c>
      <c r="D25" t="s">
        <v>17</v>
      </c>
      <c r="E25" s="7" t="s">
        <v>75</v>
      </c>
      <c r="H25" s="9"/>
      <c r="I25" s="9"/>
    </row>
    <row r="26" spans="1:13" x14ac:dyDescent="0.35">
      <c r="A26" s="19" t="s">
        <v>18</v>
      </c>
      <c r="B26" t="s">
        <v>8</v>
      </c>
      <c r="C26">
        <v>181.74</v>
      </c>
      <c r="D26" t="s">
        <v>17</v>
      </c>
      <c r="E26" s="6" t="s">
        <v>74</v>
      </c>
    </row>
    <row r="27" spans="1:13" x14ac:dyDescent="0.35">
      <c r="A27" s="19" t="s">
        <v>19</v>
      </c>
      <c r="B27" t="s">
        <v>8</v>
      </c>
      <c r="C27">
        <v>181.93</v>
      </c>
      <c r="D27" t="s">
        <v>17</v>
      </c>
      <c r="E27" s="6" t="s">
        <v>74</v>
      </c>
    </row>
    <row r="28" spans="1:13" x14ac:dyDescent="0.35">
      <c r="A28" s="18" t="s">
        <v>20</v>
      </c>
      <c r="B28" t="s">
        <v>8</v>
      </c>
      <c r="C28">
        <v>164.59</v>
      </c>
      <c r="D28" t="s">
        <v>17</v>
      </c>
      <c r="E28" s="7" t="s">
        <v>75</v>
      </c>
    </row>
    <row r="29" spans="1:13" x14ac:dyDescent="0.35">
      <c r="A29" s="19" t="s">
        <v>115</v>
      </c>
      <c r="B29" t="s">
        <v>8</v>
      </c>
      <c r="C29">
        <v>202.56</v>
      </c>
      <c r="D29" t="s">
        <v>17</v>
      </c>
      <c r="E29" s="6" t="s">
        <v>74</v>
      </c>
    </row>
    <row r="30" spans="1:13" x14ac:dyDescent="0.35">
      <c r="A30" s="19" t="s">
        <v>209</v>
      </c>
      <c r="B30" t="s">
        <v>8</v>
      </c>
      <c r="C30">
        <v>202.75</v>
      </c>
      <c r="D30" t="s">
        <v>17</v>
      </c>
      <c r="E30" s="6" t="s">
        <v>74</v>
      </c>
    </row>
    <row r="31" spans="1:13" x14ac:dyDescent="0.35">
      <c r="A31" s="18" t="s">
        <v>117</v>
      </c>
      <c r="B31" t="s">
        <v>8</v>
      </c>
      <c r="C31">
        <v>203.13</v>
      </c>
      <c r="D31" t="s">
        <v>17</v>
      </c>
      <c r="E31" s="7" t="s">
        <v>75</v>
      </c>
    </row>
    <row r="32" spans="1:13" x14ac:dyDescent="0.35">
      <c r="A32" s="19" t="s">
        <v>36</v>
      </c>
      <c r="B32" t="s">
        <v>6</v>
      </c>
      <c r="C32">
        <v>150.31</v>
      </c>
      <c r="D32" t="s">
        <v>17</v>
      </c>
      <c r="E32" s="6" t="s">
        <v>74</v>
      </c>
    </row>
    <row r="33" spans="1:5" x14ac:dyDescent="0.35">
      <c r="A33" s="20" t="s">
        <v>210</v>
      </c>
      <c r="B33" t="s">
        <v>6</v>
      </c>
      <c r="C33">
        <v>40.840000000000003</v>
      </c>
      <c r="D33" t="s">
        <v>17</v>
      </c>
      <c r="E33" s="5" t="s">
        <v>73</v>
      </c>
    </row>
    <row r="34" spans="1:5" x14ac:dyDescent="0.35">
      <c r="A34" s="18" t="s">
        <v>37</v>
      </c>
      <c r="B34" t="s">
        <v>6</v>
      </c>
      <c r="C34">
        <v>98.73</v>
      </c>
      <c r="D34" t="s">
        <v>17</v>
      </c>
      <c r="E34" s="7" t="s">
        <v>75</v>
      </c>
    </row>
    <row r="35" spans="1:5" x14ac:dyDescent="0.35">
      <c r="A35" s="18" t="s">
        <v>211</v>
      </c>
      <c r="B35" t="s">
        <v>6</v>
      </c>
      <c r="C35">
        <v>35.44</v>
      </c>
      <c r="D35" t="s">
        <v>17</v>
      </c>
      <c r="E35" s="7" t="s">
        <v>75</v>
      </c>
    </row>
    <row r="36" spans="1:5" x14ac:dyDescent="0.35">
      <c r="A36" s="18" t="s">
        <v>38</v>
      </c>
      <c r="B36" t="s">
        <v>6</v>
      </c>
      <c r="C36">
        <v>81.92</v>
      </c>
      <c r="D36" t="s">
        <v>17</v>
      </c>
      <c r="E36" s="7" t="s">
        <v>75</v>
      </c>
    </row>
    <row r="37" spans="1:5" x14ac:dyDescent="0.35">
      <c r="A37" s="19" t="s">
        <v>21</v>
      </c>
      <c r="B37" t="s">
        <v>8</v>
      </c>
      <c r="C37">
        <v>315.54000000000002</v>
      </c>
      <c r="D37" t="s">
        <v>17</v>
      </c>
      <c r="E37" s="6" t="s">
        <v>74</v>
      </c>
    </row>
    <row r="38" spans="1:5" x14ac:dyDescent="0.35">
      <c r="A38" s="19" t="s">
        <v>23</v>
      </c>
      <c r="B38" t="s">
        <v>8</v>
      </c>
      <c r="C38">
        <v>316.92</v>
      </c>
      <c r="D38" t="s">
        <v>17</v>
      </c>
      <c r="E38" s="6" t="s">
        <v>74</v>
      </c>
    </row>
    <row r="39" spans="1:5" x14ac:dyDescent="0.35">
      <c r="A39" s="19" t="s">
        <v>28</v>
      </c>
      <c r="B39" t="s">
        <v>8</v>
      </c>
      <c r="C39">
        <v>315.26</v>
      </c>
      <c r="D39" t="s">
        <v>17</v>
      </c>
      <c r="E39" s="6" t="s">
        <v>74</v>
      </c>
    </row>
    <row r="40" spans="1:5" x14ac:dyDescent="0.35">
      <c r="A40" s="19" t="s">
        <v>22</v>
      </c>
      <c r="B40" t="s">
        <v>8</v>
      </c>
      <c r="C40">
        <v>315.95</v>
      </c>
      <c r="D40" t="s">
        <v>17</v>
      </c>
      <c r="E40" s="6" t="s">
        <v>74</v>
      </c>
    </row>
    <row r="41" spans="1:5" x14ac:dyDescent="0.35">
      <c r="A41" s="20" t="s">
        <v>194</v>
      </c>
      <c r="B41" t="s">
        <v>8</v>
      </c>
      <c r="C41">
        <v>95.57</v>
      </c>
      <c r="D41" t="s">
        <v>17</v>
      </c>
      <c r="E41" s="5" t="s">
        <v>73</v>
      </c>
    </row>
    <row r="42" spans="1:5" x14ac:dyDescent="0.35">
      <c r="A42" s="20" t="s">
        <v>195</v>
      </c>
      <c r="B42" t="s">
        <v>10</v>
      </c>
      <c r="C42">
        <v>150.34</v>
      </c>
      <c r="D42" t="s">
        <v>17</v>
      </c>
      <c r="E42" s="5" t="s">
        <v>73</v>
      </c>
    </row>
    <row r="43" spans="1:5" x14ac:dyDescent="0.35">
      <c r="A43" s="18" t="s">
        <v>39</v>
      </c>
      <c r="B43" t="s">
        <v>10</v>
      </c>
      <c r="C43">
        <v>140.19</v>
      </c>
      <c r="D43" t="s">
        <v>17</v>
      </c>
      <c r="E43" s="7" t="s">
        <v>75</v>
      </c>
    </row>
    <row r="44" spans="1:5" x14ac:dyDescent="0.35">
      <c r="A44" s="18" t="s">
        <v>196</v>
      </c>
      <c r="B44" t="s">
        <v>10</v>
      </c>
      <c r="C44">
        <v>139.51</v>
      </c>
      <c r="D44" t="s">
        <v>17</v>
      </c>
      <c r="E44" s="7" t="s">
        <v>75</v>
      </c>
    </row>
    <row r="45" spans="1:5" x14ac:dyDescent="0.35">
      <c r="A45" s="18" t="s">
        <v>40</v>
      </c>
      <c r="B45" t="s">
        <v>10</v>
      </c>
      <c r="C45">
        <v>112.76</v>
      </c>
      <c r="D45" t="s">
        <v>17</v>
      </c>
      <c r="E45" s="7" t="s">
        <v>75</v>
      </c>
    </row>
    <row r="46" spans="1:5" x14ac:dyDescent="0.35">
      <c r="A46" s="19" t="s">
        <v>41</v>
      </c>
      <c r="B46" t="s">
        <v>10</v>
      </c>
      <c r="C46">
        <v>147.99</v>
      </c>
      <c r="D46" t="s">
        <v>17</v>
      </c>
      <c r="E46" s="6" t="s">
        <v>74</v>
      </c>
    </row>
    <row r="47" spans="1:5" x14ac:dyDescent="0.35">
      <c r="A47" s="19" t="s">
        <v>198</v>
      </c>
      <c r="B47" t="s">
        <v>10</v>
      </c>
      <c r="C47">
        <v>106.34</v>
      </c>
      <c r="D47" t="s">
        <v>17</v>
      </c>
      <c r="E47" s="6" t="s">
        <v>74</v>
      </c>
    </row>
    <row r="48" spans="1:5" x14ac:dyDescent="0.35">
      <c r="A48" s="18" t="s">
        <v>199</v>
      </c>
      <c r="B48" t="s">
        <v>10</v>
      </c>
      <c r="C48">
        <v>29.28</v>
      </c>
      <c r="D48" t="s">
        <v>17</v>
      </c>
      <c r="E48" s="7" t="s">
        <v>75</v>
      </c>
    </row>
    <row r="49" spans="1:5" x14ac:dyDescent="0.35">
      <c r="A49" s="18" t="s">
        <v>200</v>
      </c>
      <c r="B49" t="s">
        <v>10</v>
      </c>
      <c r="C49">
        <v>39.409999999999997</v>
      </c>
      <c r="D49" t="s">
        <v>17</v>
      </c>
      <c r="E49" s="7" t="s">
        <v>75</v>
      </c>
    </row>
    <row r="50" spans="1:5" x14ac:dyDescent="0.35">
      <c r="A50" s="20" t="s">
        <v>201</v>
      </c>
      <c r="B50" t="s">
        <v>6</v>
      </c>
      <c r="C50">
        <v>43.54</v>
      </c>
      <c r="D50" t="s">
        <v>17</v>
      </c>
      <c r="E50" s="5" t="s">
        <v>73</v>
      </c>
    </row>
    <row r="51" spans="1:5" x14ac:dyDescent="0.35">
      <c r="A51" s="18" t="s">
        <v>202</v>
      </c>
      <c r="B51" t="s">
        <v>6</v>
      </c>
      <c r="C51">
        <v>26.61</v>
      </c>
      <c r="D51" t="s">
        <v>17</v>
      </c>
      <c r="E51" s="7" t="s">
        <v>75</v>
      </c>
    </row>
    <row r="52" spans="1:5" x14ac:dyDescent="0.35">
      <c r="A52" s="18" t="s">
        <v>203</v>
      </c>
      <c r="B52" t="s">
        <v>8</v>
      </c>
      <c r="C52">
        <v>37.450000000000003</v>
      </c>
      <c r="D52" t="s">
        <v>17</v>
      </c>
      <c r="E52" s="7" t="s">
        <v>75</v>
      </c>
    </row>
    <row r="53" spans="1:5" x14ac:dyDescent="0.35">
      <c r="A53" s="20" t="s">
        <v>50</v>
      </c>
      <c r="B53" t="s">
        <v>12</v>
      </c>
      <c r="C53">
        <v>86.79</v>
      </c>
      <c r="D53" t="s">
        <v>17</v>
      </c>
      <c r="E53" s="5" t="s">
        <v>73</v>
      </c>
    </row>
    <row r="54" spans="1:5" x14ac:dyDescent="0.35">
      <c r="A54" s="20" t="s">
        <v>43</v>
      </c>
      <c r="B54" t="s">
        <v>12</v>
      </c>
      <c r="C54">
        <v>33.1</v>
      </c>
      <c r="D54" t="s">
        <v>17</v>
      </c>
      <c r="E54" s="5" t="s">
        <v>73</v>
      </c>
    </row>
    <row r="55" spans="1:5" x14ac:dyDescent="0.35">
      <c r="A55" s="20" t="s">
        <v>44</v>
      </c>
      <c r="B55" t="s">
        <v>12</v>
      </c>
      <c r="C55">
        <v>70.099999999999994</v>
      </c>
      <c r="D55" t="s">
        <v>17</v>
      </c>
      <c r="E55" s="5" t="s">
        <v>73</v>
      </c>
    </row>
    <row r="56" spans="1:5" x14ac:dyDescent="0.35">
      <c r="A56" s="20" t="s">
        <v>47</v>
      </c>
      <c r="B56" t="s">
        <v>12</v>
      </c>
      <c r="C56">
        <v>77.739999999999995</v>
      </c>
      <c r="D56" t="s">
        <v>17</v>
      </c>
      <c r="E56" s="5" t="s">
        <v>73</v>
      </c>
    </row>
    <row r="57" spans="1:5" x14ac:dyDescent="0.35">
      <c r="A57" s="20" t="s">
        <v>49</v>
      </c>
      <c r="B57" t="s">
        <v>12</v>
      </c>
      <c r="C57">
        <v>21.33</v>
      </c>
      <c r="D57" t="s">
        <v>17</v>
      </c>
      <c r="E57" s="5" t="s">
        <v>73</v>
      </c>
    </row>
    <row r="58" spans="1:5" x14ac:dyDescent="0.35">
      <c r="A58" s="18" t="s">
        <v>42</v>
      </c>
      <c r="B58" t="s">
        <v>12</v>
      </c>
      <c r="C58">
        <v>10.41</v>
      </c>
      <c r="D58" t="s">
        <v>17</v>
      </c>
      <c r="E58" s="7" t="s">
        <v>75</v>
      </c>
    </row>
    <row r="59" spans="1:5" x14ac:dyDescent="0.35">
      <c r="A59" s="18" t="s">
        <v>45</v>
      </c>
      <c r="B59" t="s">
        <v>12</v>
      </c>
      <c r="C59">
        <v>45.66</v>
      </c>
      <c r="D59" t="s">
        <v>17</v>
      </c>
      <c r="E59" s="7" t="s">
        <v>75</v>
      </c>
    </row>
    <row r="60" spans="1:5" x14ac:dyDescent="0.35">
      <c r="A60" s="18" t="s">
        <v>48</v>
      </c>
      <c r="B60" t="s">
        <v>12</v>
      </c>
      <c r="C60">
        <v>35.03</v>
      </c>
      <c r="D60" t="s">
        <v>17</v>
      </c>
      <c r="E60" s="7" t="s">
        <v>75</v>
      </c>
    </row>
    <row r="61" spans="1:5" x14ac:dyDescent="0.35">
      <c r="A61" s="18" t="s">
        <v>46</v>
      </c>
      <c r="B61" t="s">
        <v>12</v>
      </c>
      <c r="C61">
        <v>22.09</v>
      </c>
      <c r="D61" t="s">
        <v>17</v>
      </c>
      <c r="E61" s="7" t="s">
        <v>75</v>
      </c>
    </row>
    <row r="62" spans="1:5" x14ac:dyDescent="0.35">
      <c r="A62" s="19" t="s">
        <v>52</v>
      </c>
      <c r="B62" t="s">
        <v>32</v>
      </c>
      <c r="C62">
        <v>142.1</v>
      </c>
      <c r="D62" t="s">
        <v>17</v>
      </c>
      <c r="E62" s="6" t="s">
        <v>74</v>
      </c>
    </row>
    <row r="63" spans="1:5" x14ac:dyDescent="0.35">
      <c r="A63" s="19" t="s">
        <v>53</v>
      </c>
      <c r="B63" t="s">
        <v>32</v>
      </c>
      <c r="C63">
        <v>36.979999999999997</v>
      </c>
      <c r="D63" t="s">
        <v>17</v>
      </c>
      <c r="E63" s="6" t="s">
        <v>74</v>
      </c>
    </row>
    <row r="64" spans="1:5" x14ac:dyDescent="0.35">
      <c r="A64" s="20" t="s">
        <v>55</v>
      </c>
      <c r="B64" t="s">
        <v>32</v>
      </c>
      <c r="C64">
        <v>56.07</v>
      </c>
      <c r="D64" t="s">
        <v>17</v>
      </c>
      <c r="E64" s="5" t="s">
        <v>73</v>
      </c>
    </row>
    <row r="65" spans="1:5" x14ac:dyDescent="0.35">
      <c r="A65" s="20" t="s">
        <v>51</v>
      </c>
      <c r="B65" t="s">
        <v>32</v>
      </c>
      <c r="C65">
        <v>19.3</v>
      </c>
      <c r="D65" t="s">
        <v>17</v>
      </c>
      <c r="E65" s="5" t="s">
        <v>73</v>
      </c>
    </row>
    <row r="66" spans="1:5" x14ac:dyDescent="0.35">
      <c r="A66" s="18" t="s">
        <v>54</v>
      </c>
      <c r="B66" t="s">
        <v>32</v>
      </c>
      <c r="C66">
        <v>11.19</v>
      </c>
      <c r="D66" t="s">
        <v>17</v>
      </c>
      <c r="E66" s="7" t="s">
        <v>75</v>
      </c>
    </row>
    <row r="67" spans="1:5" x14ac:dyDescent="0.35">
      <c r="A67" s="18" t="s">
        <v>56</v>
      </c>
      <c r="B67" t="s">
        <v>32</v>
      </c>
      <c r="C67">
        <v>11.23</v>
      </c>
      <c r="D67" t="s">
        <v>17</v>
      </c>
      <c r="E67" s="7" t="s">
        <v>75</v>
      </c>
    </row>
    <row r="68" spans="1:5" x14ac:dyDescent="0.35">
      <c r="A68" s="20" t="s">
        <v>212</v>
      </c>
      <c r="B68" t="s">
        <v>35</v>
      </c>
      <c r="C68">
        <v>38.81</v>
      </c>
      <c r="D68" t="s">
        <v>17</v>
      </c>
      <c r="E68" s="5" t="s">
        <v>73</v>
      </c>
    </row>
    <row r="69" spans="1:5" x14ac:dyDescent="0.35">
      <c r="A69" s="18" t="s">
        <v>213</v>
      </c>
      <c r="B69" t="s">
        <v>35</v>
      </c>
      <c r="C69">
        <v>2.71</v>
      </c>
      <c r="D69" t="s">
        <v>17</v>
      </c>
      <c r="E69" s="7" t="s">
        <v>75</v>
      </c>
    </row>
    <row r="70" spans="1:5" x14ac:dyDescent="0.35">
      <c r="A70" s="20" t="s">
        <v>214</v>
      </c>
      <c r="B70" t="s">
        <v>35</v>
      </c>
      <c r="C70">
        <v>37.31</v>
      </c>
      <c r="D70" t="s">
        <v>17</v>
      </c>
      <c r="E70" s="5" t="s">
        <v>73</v>
      </c>
    </row>
    <row r="71" spans="1:5" x14ac:dyDescent="0.35">
      <c r="A71" s="18" t="s">
        <v>215</v>
      </c>
      <c r="B71" t="s">
        <v>35</v>
      </c>
      <c r="C71">
        <v>25.95</v>
      </c>
      <c r="D71" t="s">
        <v>17</v>
      </c>
      <c r="E71" s="7" t="s">
        <v>75</v>
      </c>
    </row>
    <row r="72" spans="1:5" x14ac:dyDescent="0.35">
      <c r="A72" s="18" t="s">
        <v>216</v>
      </c>
      <c r="B72" t="s">
        <v>35</v>
      </c>
      <c r="C72">
        <v>8.35</v>
      </c>
      <c r="D72" t="s">
        <v>17</v>
      </c>
      <c r="E72" s="7" t="s">
        <v>75</v>
      </c>
    </row>
    <row r="73" spans="1:5" x14ac:dyDescent="0.35">
      <c r="A73" s="18" t="s">
        <v>217</v>
      </c>
      <c r="B73" t="s">
        <v>35</v>
      </c>
      <c r="C73">
        <v>77.56</v>
      </c>
      <c r="D73" t="s">
        <v>17</v>
      </c>
      <c r="E73" s="7" t="s">
        <v>75</v>
      </c>
    </row>
    <row r="74" spans="1:5" x14ac:dyDescent="0.35">
      <c r="A74" s="18" t="s">
        <v>218</v>
      </c>
      <c r="B74" t="s">
        <v>35</v>
      </c>
      <c r="C74">
        <v>8.24</v>
      </c>
      <c r="D74" t="s">
        <v>17</v>
      </c>
      <c r="E74" s="7" t="s">
        <v>75</v>
      </c>
    </row>
    <row r="75" spans="1:5" x14ac:dyDescent="0.35">
      <c r="A75" s="18" t="s">
        <v>65</v>
      </c>
      <c r="B75" t="s">
        <v>35</v>
      </c>
      <c r="C75">
        <v>19.73</v>
      </c>
      <c r="D75" t="s">
        <v>66</v>
      </c>
      <c r="E75" s="7" t="s">
        <v>75</v>
      </c>
    </row>
    <row r="76" spans="1:5" x14ac:dyDescent="0.35">
      <c r="A76" s="20" t="s">
        <v>67</v>
      </c>
      <c r="B76" t="s">
        <v>35</v>
      </c>
      <c r="C76">
        <v>369.58</v>
      </c>
      <c r="D76" t="s">
        <v>17</v>
      </c>
      <c r="E76" s="5" t="s">
        <v>73</v>
      </c>
    </row>
    <row r="77" spans="1:5" x14ac:dyDescent="0.35">
      <c r="A77" s="18" t="s">
        <v>68</v>
      </c>
      <c r="B77" t="s">
        <v>35</v>
      </c>
      <c r="C77">
        <v>1891.86</v>
      </c>
      <c r="D77" t="s">
        <v>17</v>
      </c>
      <c r="E77" s="7" t="s">
        <v>75</v>
      </c>
    </row>
    <row r="78" spans="1:5" x14ac:dyDescent="0.35">
      <c r="A78" s="20" t="s">
        <v>219</v>
      </c>
      <c r="B78" t="s">
        <v>35</v>
      </c>
      <c r="C78">
        <v>21.65</v>
      </c>
      <c r="D78" t="s">
        <v>17</v>
      </c>
      <c r="E78" s="5" t="s">
        <v>73</v>
      </c>
    </row>
    <row r="79" spans="1:5" x14ac:dyDescent="0.35">
      <c r="A79" s="18" t="s">
        <v>220</v>
      </c>
      <c r="B79" t="s">
        <v>35</v>
      </c>
      <c r="C79">
        <v>19.079999999999998</v>
      </c>
      <c r="D79" t="s">
        <v>17</v>
      </c>
      <c r="E79" s="7" t="s">
        <v>75</v>
      </c>
    </row>
    <row r="80" spans="1:5" x14ac:dyDescent="0.35">
      <c r="A80" s="18" t="s">
        <v>71</v>
      </c>
      <c r="B80" t="s">
        <v>35</v>
      </c>
      <c r="C80">
        <v>27.96</v>
      </c>
      <c r="D80" t="s">
        <v>66</v>
      </c>
      <c r="E80" s="7" t="s">
        <v>75</v>
      </c>
    </row>
    <row r="81" spans="1:5" x14ac:dyDescent="0.35">
      <c r="A81" s="18" t="s">
        <v>72</v>
      </c>
      <c r="B81" t="s">
        <v>35</v>
      </c>
      <c r="C81">
        <v>736.01</v>
      </c>
      <c r="D81" t="s">
        <v>17</v>
      </c>
      <c r="E81" s="7" t="s">
        <v>75</v>
      </c>
    </row>
  </sheetData>
  <conditionalFormatting sqref="H4:H25">
    <cfRule type="cellIs" dxfId="5" priority="1" operator="greaterThan">
      <formula>1.01</formula>
    </cfRule>
    <cfRule type="cellIs" dxfId="4" priority="2" operator="greaterThan">
      <formula>101</formula>
    </cfRule>
  </conditionalFormatting>
  <conditionalFormatting sqref="I4:I9 I18:I25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0"/>
  <sheetViews>
    <sheetView workbookViewId="0">
      <selection activeCell="G40" sqref="G40"/>
    </sheetView>
  </sheetViews>
  <sheetFormatPr defaultColWidth="8.81640625" defaultRowHeight="14.5" x14ac:dyDescent="0.35"/>
  <cols>
    <col min="1" max="1" width="49.1796875" bestFit="1" customWidth="1"/>
    <col min="2" max="2" width="12.453125" customWidth="1"/>
    <col min="5" max="5" width="23.81640625" bestFit="1" customWidth="1"/>
    <col min="6" max="6" width="8.36328125" customWidth="1"/>
    <col min="7" max="8" width="22.26953125" customWidth="1"/>
    <col min="9" max="9" width="25.26953125" bestFit="1" customWidth="1"/>
    <col min="12" max="12" width="15.7265625" customWidth="1"/>
    <col min="13" max="13" width="49.1796875" bestFit="1" customWidth="1"/>
    <col min="16" max="16" width="11.81640625" bestFit="1" customWidth="1"/>
  </cols>
  <sheetData>
    <row r="1" spans="1:13" x14ac:dyDescent="0.35">
      <c r="A1" t="s">
        <v>27</v>
      </c>
    </row>
    <row r="3" spans="1:13" x14ac:dyDescent="0.35">
      <c r="A3" t="s">
        <v>0</v>
      </c>
      <c r="B3" t="s">
        <v>1</v>
      </c>
      <c r="C3" t="s">
        <v>29</v>
      </c>
      <c r="D3" t="s">
        <v>2</v>
      </c>
      <c r="E3" t="s">
        <v>173</v>
      </c>
      <c r="G3" t="s">
        <v>84</v>
      </c>
      <c r="H3" t="s">
        <v>128</v>
      </c>
      <c r="K3" t="s">
        <v>110</v>
      </c>
    </row>
    <row r="4" spans="1:13" x14ac:dyDescent="0.35">
      <c r="A4" s="14" t="s">
        <v>30</v>
      </c>
      <c r="B4" s="14"/>
      <c r="C4">
        <v>10728</v>
      </c>
      <c r="G4" s="10">
        <f>ROUND(GEOMEAN(G18:G21)*'DaVinci Resolve 1.0.0'!$K$4,0)</f>
        <v>10714</v>
      </c>
      <c r="H4" s="9">
        <f t="shared" ref="H4:H17" si="0">MAX(C4,G4)/MIN(C4,G4)</f>
        <v>1.0013067015120403</v>
      </c>
      <c r="I4" s="9"/>
      <c r="J4" t="s">
        <v>129</v>
      </c>
      <c r="K4">
        <v>100</v>
      </c>
    </row>
    <row r="5" spans="1:13" x14ac:dyDescent="0.35">
      <c r="A5" s="14" t="s">
        <v>3</v>
      </c>
      <c r="B5" s="14"/>
      <c r="C5">
        <v>9735</v>
      </c>
      <c r="G5" s="10">
        <f>ROUND(GEOMEAN(G7:G11)*$K$4,0)</f>
        <v>9735</v>
      </c>
      <c r="H5" s="9">
        <f t="shared" si="0"/>
        <v>1</v>
      </c>
      <c r="I5" s="9"/>
      <c r="J5" t="s">
        <v>6</v>
      </c>
      <c r="K5" s="2">
        <v>0.85</v>
      </c>
    </row>
    <row r="6" spans="1:13" x14ac:dyDescent="0.35">
      <c r="A6" s="14" t="s">
        <v>4</v>
      </c>
      <c r="B6" s="14"/>
      <c r="C6">
        <v>8549</v>
      </c>
      <c r="G6" s="10">
        <f>ROUND(GEOMEAN(G12:G17)*K4,0)</f>
        <v>8549</v>
      </c>
      <c r="H6" s="9">
        <f t="shared" si="0"/>
        <v>1</v>
      </c>
      <c r="I6" s="9"/>
      <c r="J6" t="s">
        <v>130</v>
      </c>
      <c r="K6" s="2">
        <v>0.38</v>
      </c>
    </row>
    <row r="7" spans="1:13" x14ac:dyDescent="0.35">
      <c r="A7" s="14" t="s">
        <v>5</v>
      </c>
      <c r="B7" s="14" t="s">
        <v>6</v>
      </c>
      <c r="C7">
        <v>125</v>
      </c>
      <c r="D7" s="1"/>
      <c r="G7" s="11">
        <f>ROUND(GEOMEAN(GEOMEAN(C22:C23),GEOMEAN(C28:C29))*'DaVinci Resolve 1.0.0'!$K$5,0)</f>
        <v>125</v>
      </c>
      <c r="H7" s="9">
        <f t="shared" si="0"/>
        <v>1</v>
      </c>
      <c r="I7" s="9"/>
      <c r="J7" t="s">
        <v>10</v>
      </c>
      <c r="K7" s="2">
        <v>0.92</v>
      </c>
      <c r="M7" s="3"/>
    </row>
    <row r="8" spans="1:13" x14ac:dyDescent="0.35">
      <c r="A8" s="14" t="s">
        <v>7</v>
      </c>
      <c r="B8" s="14" t="s">
        <v>8</v>
      </c>
      <c r="C8">
        <v>67</v>
      </c>
      <c r="D8" s="1"/>
      <c r="G8" s="11">
        <f>ROUND(GEOMEAN(GEOMEAN(C25:C26),GEOMEAN(C31:C34))*'DaVinci Resolve 1.0.0'!$K$6,0)</f>
        <v>67</v>
      </c>
      <c r="H8" s="9">
        <f t="shared" si="0"/>
        <v>1</v>
      </c>
      <c r="I8" s="9"/>
      <c r="J8" t="s">
        <v>12</v>
      </c>
      <c r="K8" s="2">
        <v>2.2999999999999998</v>
      </c>
      <c r="M8" s="3"/>
    </row>
    <row r="9" spans="1:13" x14ac:dyDescent="0.35">
      <c r="A9" s="14" t="s">
        <v>9</v>
      </c>
      <c r="B9" s="14" t="s">
        <v>10</v>
      </c>
      <c r="C9">
        <v>109</v>
      </c>
      <c r="D9" s="1"/>
      <c r="G9" s="11">
        <f>ROUND(GEOMEAN(C38:C39)*'DaVinci Resolve 1.0.0'!$K$7,0)</f>
        <v>109</v>
      </c>
      <c r="H9" s="9">
        <f t="shared" si="0"/>
        <v>1</v>
      </c>
      <c r="I9" s="9"/>
      <c r="J9" t="s">
        <v>32</v>
      </c>
      <c r="K9" s="2">
        <v>3.5</v>
      </c>
      <c r="M9" s="3"/>
    </row>
    <row r="10" spans="1:13" x14ac:dyDescent="0.35">
      <c r="A10" s="14" t="s">
        <v>11</v>
      </c>
      <c r="B10" s="14" t="s">
        <v>12</v>
      </c>
      <c r="C10">
        <v>103</v>
      </c>
      <c r="G10" s="11">
        <f>ROUND(GEOMEAN(C41:C49)*'DaVinci Resolve 1.0.0'!$K$8,0)</f>
        <v>103</v>
      </c>
      <c r="H10" s="9">
        <f t="shared" si="0"/>
        <v>1</v>
      </c>
      <c r="J10" t="s">
        <v>35</v>
      </c>
      <c r="K10" s="2">
        <v>1.5</v>
      </c>
      <c r="M10" s="3"/>
    </row>
    <row r="11" spans="1:13" x14ac:dyDescent="0.35">
      <c r="A11" s="14" t="s">
        <v>31</v>
      </c>
      <c r="B11" s="14" t="s">
        <v>32</v>
      </c>
      <c r="C11">
        <v>93</v>
      </c>
      <c r="G11" s="11">
        <f>ROUND(GEOMEAN(C50:C55)*'DaVinci Resolve 1.0.0'!$K$9,0)</f>
        <v>93</v>
      </c>
      <c r="H11" s="9">
        <f t="shared" si="0"/>
        <v>1</v>
      </c>
      <c r="M11" s="3"/>
    </row>
    <row r="12" spans="1:13" x14ac:dyDescent="0.35">
      <c r="A12" s="14" t="s">
        <v>13</v>
      </c>
      <c r="B12" s="14" t="s">
        <v>6</v>
      </c>
      <c r="C12">
        <v>114</v>
      </c>
      <c r="G12" s="11">
        <f>ROUND(GEOMEAN(GEOMEAN(C22:C24),GEOMEAN(C28:C30))*'DaVinci Resolve 1.0.0'!$K$5,0)</f>
        <v>114</v>
      </c>
      <c r="H12" s="9">
        <f t="shared" si="0"/>
        <v>1</v>
      </c>
    </row>
    <row r="13" spans="1:13" x14ac:dyDescent="0.35">
      <c r="A13" s="14" t="s">
        <v>14</v>
      </c>
      <c r="B13" s="14" t="s">
        <v>8</v>
      </c>
      <c r="C13">
        <v>67</v>
      </c>
      <c r="G13" s="11">
        <f>ROUND(GEOMEAN(GEOMEAN(C25:C27),GEOMEAN(C31:C34))*'DaVinci Resolve 1.0.0'!$K$6,0)</f>
        <v>67</v>
      </c>
      <c r="H13" s="9">
        <f t="shared" si="0"/>
        <v>1</v>
      </c>
    </row>
    <row r="14" spans="1:13" x14ac:dyDescent="0.35">
      <c r="A14" s="14" t="s">
        <v>15</v>
      </c>
      <c r="B14" s="14" t="s">
        <v>10</v>
      </c>
      <c r="C14">
        <v>92</v>
      </c>
      <c r="G14" s="11">
        <f>ROUND(GEOMEAN(C35:C40)*'DaVinci Resolve 1.0.0'!$K$7,0)</f>
        <v>92</v>
      </c>
      <c r="H14" s="9">
        <f t="shared" si="0"/>
        <v>1</v>
      </c>
    </row>
    <row r="15" spans="1:13" x14ac:dyDescent="0.35">
      <c r="A15" s="14" t="s">
        <v>16</v>
      </c>
      <c r="B15" s="14" t="s">
        <v>12</v>
      </c>
      <c r="C15">
        <v>103</v>
      </c>
      <c r="G15" s="11">
        <f>ROUND(GEOMEAN(C41:C49)*'DaVinci Resolve 1.0.0'!$K$8,0)</f>
        <v>103</v>
      </c>
      <c r="H15" s="9">
        <f t="shared" si="0"/>
        <v>1</v>
      </c>
    </row>
    <row r="16" spans="1:13" x14ac:dyDescent="0.35">
      <c r="A16" s="14" t="s">
        <v>33</v>
      </c>
      <c r="B16" s="14" t="s">
        <v>32</v>
      </c>
      <c r="C16">
        <v>93</v>
      </c>
      <c r="G16" s="11">
        <f>ROUND(GEOMEAN(C50:C55)*'DaVinci Resolve 1.0.0'!$K$9,0)</f>
        <v>93</v>
      </c>
      <c r="H16" s="9">
        <f t="shared" si="0"/>
        <v>1</v>
      </c>
    </row>
    <row r="17" spans="1:13" x14ac:dyDescent="0.35">
      <c r="A17" s="14" t="s">
        <v>34</v>
      </c>
      <c r="B17" s="14" t="s">
        <v>35</v>
      </c>
      <c r="C17">
        <v>58</v>
      </c>
      <c r="G17" s="11">
        <f>ROUND(GEOMEAN(GEOMEAN(C56:C63),GEOMEAN(C64:C70))*'DaVinci Resolve 1.0.0'!$K$10,0)</f>
        <v>58</v>
      </c>
      <c r="H17" s="9">
        <f t="shared" si="0"/>
        <v>1</v>
      </c>
      <c r="M17" s="4"/>
    </row>
    <row r="18" spans="1:13" x14ac:dyDescent="0.35">
      <c r="A18" s="15" t="s">
        <v>76</v>
      </c>
      <c r="B18" s="15" t="s">
        <v>80</v>
      </c>
      <c r="G18" s="16">
        <f>(GEOMEAN(GEOMEAN(C22:C23),GEOMEAN(C28))*'DaVinci Resolve 1.0.0'!$K5)</f>
        <v>195.05576962447651</v>
      </c>
      <c r="H18" s="9"/>
      <c r="I18" s="9"/>
    </row>
    <row r="19" spans="1:13" x14ac:dyDescent="0.35">
      <c r="A19" s="15" t="s">
        <v>77</v>
      </c>
      <c r="B19" s="15" t="s">
        <v>80</v>
      </c>
      <c r="G19" s="16">
        <f>GEOMEAN(GEOMEAN(C25:C26),GEOMEAN(C31:C34))*'DaVinci Resolve 1.0.0'!$K6</f>
        <v>67.15309028157148</v>
      </c>
      <c r="H19" s="9"/>
      <c r="I19" s="9"/>
    </row>
    <row r="20" spans="1:13" x14ac:dyDescent="0.35">
      <c r="A20" s="15" t="s">
        <v>78</v>
      </c>
      <c r="B20" s="15" t="s">
        <v>80</v>
      </c>
      <c r="G20" s="16">
        <f>GEOMEAN(C38:C39)*'DaVinci Resolve 1.0.0'!$K7</f>
        <v>108.51953584862036</v>
      </c>
      <c r="H20" s="9"/>
      <c r="I20" s="9"/>
    </row>
    <row r="21" spans="1:13" x14ac:dyDescent="0.35">
      <c r="A21" s="15" t="s">
        <v>79</v>
      </c>
      <c r="B21" s="15" t="s">
        <v>80</v>
      </c>
      <c r="G21" s="16">
        <f>GEOMEAN(C50:C55)*'DaVinci Resolve 1.0.0'!$K9</f>
        <v>92.696260550074896</v>
      </c>
      <c r="H21" s="9"/>
      <c r="I21" s="9"/>
    </row>
    <row r="22" spans="1:13" x14ac:dyDescent="0.35">
      <c r="A22" t="s">
        <v>82</v>
      </c>
      <c r="B22" t="s">
        <v>6</v>
      </c>
      <c r="C22">
        <v>165.9</v>
      </c>
      <c r="D22" t="s">
        <v>17</v>
      </c>
      <c r="E22" s="6" t="s">
        <v>74</v>
      </c>
    </row>
    <row r="23" spans="1:13" x14ac:dyDescent="0.35">
      <c r="A23" t="s">
        <v>83</v>
      </c>
      <c r="B23" t="s">
        <v>6</v>
      </c>
      <c r="C23">
        <v>165.68</v>
      </c>
      <c r="D23" t="s">
        <v>17</v>
      </c>
      <c r="E23" s="6" t="s">
        <v>74</v>
      </c>
    </row>
    <row r="24" spans="1:13" x14ac:dyDescent="0.35">
      <c r="A24" t="s">
        <v>81</v>
      </c>
      <c r="B24" t="s">
        <v>6</v>
      </c>
      <c r="C24">
        <v>166</v>
      </c>
      <c r="D24" t="s">
        <v>17</v>
      </c>
      <c r="E24" s="7" t="s">
        <v>75</v>
      </c>
    </row>
    <row r="25" spans="1:13" x14ac:dyDescent="0.35">
      <c r="A25" t="s">
        <v>18</v>
      </c>
      <c r="B25" t="s">
        <v>8</v>
      </c>
      <c r="C25">
        <v>139.31</v>
      </c>
      <c r="D25" t="s">
        <v>17</v>
      </c>
      <c r="E25" s="6" t="s">
        <v>74</v>
      </c>
    </row>
    <row r="26" spans="1:13" x14ac:dyDescent="0.35">
      <c r="A26" t="s">
        <v>19</v>
      </c>
      <c r="B26" t="s">
        <v>8</v>
      </c>
      <c r="C26">
        <v>120.1</v>
      </c>
      <c r="D26" t="s">
        <v>17</v>
      </c>
      <c r="E26" s="6" t="s">
        <v>74</v>
      </c>
    </row>
    <row r="27" spans="1:13" x14ac:dyDescent="0.35">
      <c r="A27" t="s">
        <v>20</v>
      </c>
      <c r="B27" t="s">
        <v>8</v>
      </c>
      <c r="C27">
        <v>129.1</v>
      </c>
      <c r="D27" t="s">
        <v>17</v>
      </c>
      <c r="E27" s="7" t="s">
        <v>75</v>
      </c>
    </row>
    <row r="28" spans="1:13" x14ac:dyDescent="0.35">
      <c r="A28" t="s">
        <v>36</v>
      </c>
      <c r="B28" t="s">
        <v>6</v>
      </c>
      <c r="C28">
        <v>317.63</v>
      </c>
      <c r="D28" t="s">
        <v>17</v>
      </c>
      <c r="E28" s="6" t="s">
        <v>74</v>
      </c>
    </row>
    <row r="29" spans="1:13" x14ac:dyDescent="0.35">
      <c r="A29" t="s">
        <v>37</v>
      </c>
      <c r="B29" t="s">
        <v>6</v>
      </c>
      <c r="C29">
        <v>53.53</v>
      </c>
      <c r="D29" t="s">
        <v>17</v>
      </c>
      <c r="E29" s="5" t="s">
        <v>73</v>
      </c>
    </row>
    <row r="30" spans="1:13" x14ac:dyDescent="0.35">
      <c r="A30" t="s">
        <v>38</v>
      </c>
      <c r="B30" t="s">
        <v>6</v>
      </c>
      <c r="C30">
        <v>74.040000000000006</v>
      </c>
      <c r="D30" t="s">
        <v>17</v>
      </c>
      <c r="E30" s="7" t="s">
        <v>75</v>
      </c>
    </row>
    <row r="31" spans="1:13" x14ac:dyDescent="0.35">
      <c r="A31" t="s">
        <v>21</v>
      </c>
      <c r="B31" t="s">
        <v>8</v>
      </c>
      <c r="C31">
        <v>221.71</v>
      </c>
      <c r="D31" t="s">
        <v>17</v>
      </c>
      <c r="E31" s="6" t="s">
        <v>74</v>
      </c>
    </row>
    <row r="32" spans="1:13" x14ac:dyDescent="0.35">
      <c r="A32" t="s">
        <v>22</v>
      </c>
      <c r="B32" t="s">
        <v>8</v>
      </c>
      <c r="C32">
        <v>222.39</v>
      </c>
      <c r="D32" t="s">
        <v>17</v>
      </c>
      <c r="E32" s="6" t="s">
        <v>74</v>
      </c>
    </row>
    <row r="33" spans="1:5" x14ac:dyDescent="0.35">
      <c r="A33" t="s">
        <v>23</v>
      </c>
      <c r="B33" t="s">
        <v>8</v>
      </c>
      <c r="C33">
        <v>262.66000000000003</v>
      </c>
      <c r="D33" t="s">
        <v>17</v>
      </c>
      <c r="E33" s="6" t="s">
        <v>74</v>
      </c>
    </row>
    <row r="34" spans="1:5" x14ac:dyDescent="0.35">
      <c r="A34" t="s">
        <v>28</v>
      </c>
      <c r="B34" t="s">
        <v>8</v>
      </c>
      <c r="C34">
        <v>262.37</v>
      </c>
      <c r="D34" t="s">
        <v>17</v>
      </c>
      <c r="E34" s="6" t="s">
        <v>74</v>
      </c>
    </row>
    <row r="35" spans="1:5" x14ac:dyDescent="0.35">
      <c r="A35" t="s">
        <v>24</v>
      </c>
      <c r="B35" t="s">
        <v>10</v>
      </c>
      <c r="C35">
        <v>137.25</v>
      </c>
      <c r="D35" t="s">
        <v>17</v>
      </c>
      <c r="E35" s="7" t="s">
        <v>75</v>
      </c>
    </row>
    <row r="36" spans="1:5" x14ac:dyDescent="0.35">
      <c r="A36" t="s">
        <v>39</v>
      </c>
      <c r="B36" t="s">
        <v>10</v>
      </c>
      <c r="C36">
        <v>144.22999999999999</v>
      </c>
      <c r="D36" t="s">
        <v>17</v>
      </c>
      <c r="E36" s="7" t="s">
        <v>75</v>
      </c>
    </row>
    <row r="37" spans="1:5" x14ac:dyDescent="0.35">
      <c r="A37" t="s">
        <v>40</v>
      </c>
      <c r="B37" t="s">
        <v>10</v>
      </c>
      <c r="C37">
        <v>113.8</v>
      </c>
      <c r="D37" t="s">
        <v>17</v>
      </c>
      <c r="E37" s="7" t="s">
        <v>75</v>
      </c>
    </row>
    <row r="38" spans="1:5" x14ac:dyDescent="0.35">
      <c r="A38" t="s">
        <v>41</v>
      </c>
      <c r="B38" t="s">
        <v>10</v>
      </c>
      <c r="C38">
        <v>149.4</v>
      </c>
      <c r="D38" t="s">
        <v>17</v>
      </c>
      <c r="E38" s="6" t="s">
        <v>74</v>
      </c>
    </row>
    <row r="39" spans="1:5" x14ac:dyDescent="0.35">
      <c r="A39" t="s">
        <v>25</v>
      </c>
      <c r="B39" t="s">
        <v>10</v>
      </c>
      <c r="C39">
        <v>93.13</v>
      </c>
      <c r="D39" t="s">
        <v>17</v>
      </c>
      <c r="E39" s="6" t="s">
        <v>74</v>
      </c>
    </row>
    <row r="40" spans="1:5" x14ac:dyDescent="0.35">
      <c r="A40" t="s">
        <v>26</v>
      </c>
      <c r="B40" t="s">
        <v>10</v>
      </c>
      <c r="C40">
        <v>32.46</v>
      </c>
      <c r="D40" t="s">
        <v>17</v>
      </c>
      <c r="E40" s="7" t="s">
        <v>75</v>
      </c>
    </row>
    <row r="41" spans="1:5" x14ac:dyDescent="0.35">
      <c r="A41" t="s">
        <v>42</v>
      </c>
      <c r="B41" t="s">
        <v>12</v>
      </c>
      <c r="C41">
        <v>16.75</v>
      </c>
      <c r="D41" t="s">
        <v>17</v>
      </c>
      <c r="E41" s="5" t="s">
        <v>73</v>
      </c>
    </row>
    <row r="42" spans="1:5" x14ac:dyDescent="0.35">
      <c r="A42" t="s">
        <v>43</v>
      </c>
      <c r="B42" t="s">
        <v>12</v>
      </c>
      <c r="C42">
        <v>52.47</v>
      </c>
      <c r="D42" t="s">
        <v>17</v>
      </c>
      <c r="E42" s="5" t="s">
        <v>73</v>
      </c>
    </row>
    <row r="43" spans="1:5" x14ac:dyDescent="0.35">
      <c r="A43" t="s">
        <v>44</v>
      </c>
      <c r="B43" t="s">
        <v>12</v>
      </c>
      <c r="C43">
        <v>78.010000000000005</v>
      </c>
      <c r="D43" t="s">
        <v>17</v>
      </c>
      <c r="E43" s="5" t="s">
        <v>73</v>
      </c>
    </row>
    <row r="44" spans="1:5" x14ac:dyDescent="0.35">
      <c r="A44" t="s">
        <v>45</v>
      </c>
      <c r="B44" t="s">
        <v>12</v>
      </c>
      <c r="C44">
        <v>44.4</v>
      </c>
      <c r="D44" t="s">
        <v>17</v>
      </c>
      <c r="E44" s="5" t="s">
        <v>73</v>
      </c>
    </row>
    <row r="45" spans="1:5" x14ac:dyDescent="0.35">
      <c r="A45" t="s">
        <v>46</v>
      </c>
      <c r="B45" t="s">
        <v>12</v>
      </c>
      <c r="C45">
        <v>25.27</v>
      </c>
      <c r="D45" t="s">
        <v>17</v>
      </c>
      <c r="E45" s="5" t="s">
        <v>73</v>
      </c>
    </row>
    <row r="46" spans="1:5" x14ac:dyDescent="0.35">
      <c r="A46" t="s">
        <v>47</v>
      </c>
      <c r="B46" t="s">
        <v>12</v>
      </c>
      <c r="C46">
        <v>67.09</v>
      </c>
      <c r="D46" t="s">
        <v>17</v>
      </c>
      <c r="E46" s="5" t="s">
        <v>73</v>
      </c>
    </row>
    <row r="47" spans="1:5" x14ac:dyDescent="0.35">
      <c r="A47" t="s">
        <v>48</v>
      </c>
      <c r="B47" t="s">
        <v>12</v>
      </c>
      <c r="C47">
        <v>49.68</v>
      </c>
      <c r="D47" t="s">
        <v>17</v>
      </c>
      <c r="E47" s="5" t="s">
        <v>73</v>
      </c>
    </row>
    <row r="48" spans="1:5" x14ac:dyDescent="0.35">
      <c r="A48" t="s">
        <v>49</v>
      </c>
      <c r="B48" t="s">
        <v>12</v>
      </c>
      <c r="C48">
        <v>26.46</v>
      </c>
      <c r="D48" t="s">
        <v>17</v>
      </c>
      <c r="E48" s="5" t="s">
        <v>73</v>
      </c>
    </row>
    <row r="49" spans="1:5" x14ac:dyDescent="0.35">
      <c r="A49" t="s">
        <v>50</v>
      </c>
      <c r="B49" t="s">
        <v>12</v>
      </c>
      <c r="C49">
        <v>106.8</v>
      </c>
      <c r="D49" t="s">
        <v>17</v>
      </c>
      <c r="E49" s="5" t="s">
        <v>73</v>
      </c>
    </row>
    <row r="50" spans="1:5" x14ac:dyDescent="0.35">
      <c r="A50" t="s">
        <v>51</v>
      </c>
      <c r="B50" t="s">
        <v>32</v>
      </c>
      <c r="C50">
        <v>18.21</v>
      </c>
      <c r="D50" t="s">
        <v>17</v>
      </c>
      <c r="E50" s="6" t="s">
        <v>74</v>
      </c>
    </row>
    <row r="51" spans="1:5" x14ac:dyDescent="0.35">
      <c r="A51" t="s">
        <v>52</v>
      </c>
      <c r="B51" t="s">
        <v>32</v>
      </c>
      <c r="C51">
        <v>157.96</v>
      </c>
      <c r="D51" t="s">
        <v>17</v>
      </c>
      <c r="E51" s="6" t="s">
        <v>74</v>
      </c>
    </row>
    <row r="52" spans="1:5" x14ac:dyDescent="0.35">
      <c r="A52" t="s">
        <v>53</v>
      </c>
      <c r="B52" t="s">
        <v>32</v>
      </c>
      <c r="C52">
        <v>69.849999999999994</v>
      </c>
      <c r="D52" t="s">
        <v>17</v>
      </c>
      <c r="E52" s="6" t="s">
        <v>74</v>
      </c>
    </row>
    <row r="53" spans="1:5" x14ac:dyDescent="0.35">
      <c r="A53" t="s">
        <v>54</v>
      </c>
      <c r="B53" t="s">
        <v>32</v>
      </c>
      <c r="C53">
        <v>13.97</v>
      </c>
      <c r="D53" t="s">
        <v>17</v>
      </c>
      <c r="E53" s="6" t="s">
        <v>74</v>
      </c>
    </row>
    <row r="54" spans="1:5" x14ac:dyDescent="0.35">
      <c r="A54" t="s">
        <v>55</v>
      </c>
      <c r="B54" t="s">
        <v>32</v>
      </c>
      <c r="C54">
        <v>19.61</v>
      </c>
      <c r="D54" t="s">
        <v>17</v>
      </c>
      <c r="E54" s="6" t="s">
        <v>74</v>
      </c>
    </row>
    <row r="55" spans="1:5" x14ac:dyDescent="0.35">
      <c r="A55" t="s">
        <v>56</v>
      </c>
      <c r="B55" t="s">
        <v>32</v>
      </c>
      <c r="C55">
        <v>6.27</v>
      </c>
      <c r="D55" t="s">
        <v>17</v>
      </c>
      <c r="E55" s="6" t="s">
        <v>74</v>
      </c>
    </row>
    <row r="56" spans="1:5" x14ac:dyDescent="0.35">
      <c r="A56" t="s">
        <v>57</v>
      </c>
      <c r="B56" t="s">
        <v>35</v>
      </c>
      <c r="C56">
        <v>25.26</v>
      </c>
      <c r="D56" t="s">
        <v>17</v>
      </c>
      <c r="E56" s="7" t="s">
        <v>75</v>
      </c>
    </row>
    <row r="57" spans="1:5" x14ac:dyDescent="0.35">
      <c r="A57" t="s">
        <v>58</v>
      </c>
      <c r="B57" t="s">
        <v>35</v>
      </c>
      <c r="C57">
        <v>32.04</v>
      </c>
      <c r="D57" t="s">
        <v>17</v>
      </c>
      <c r="E57" s="7" t="s">
        <v>75</v>
      </c>
    </row>
    <row r="58" spans="1:5" x14ac:dyDescent="0.35">
      <c r="A58" t="s">
        <v>59</v>
      </c>
      <c r="B58" t="s">
        <v>35</v>
      </c>
      <c r="C58">
        <v>45.44</v>
      </c>
      <c r="D58" t="s">
        <v>17</v>
      </c>
      <c r="E58" s="7" t="s">
        <v>75</v>
      </c>
    </row>
    <row r="59" spans="1:5" x14ac:dyDescent="0.35">
      <c r="A59" t="s">
        <v>60</v>
      </c>
      <c r="B59" t="s">
        <v>35</v>
      </c>
      <c r="C59">
        <v>20.100000000000001</v>
      </c>
      <c r="D59" t="s">
        <v>17</v>
      </c>
      <c r="E59" s="7" t="s">
        <v>75</v>
      </c>
    </row>
    <row r="60" spans="1:5" x14ac:dyDescent="0.35">
      <c r="A60" t="s">
        <v>61</v>
      </c>
      <c r="B60" t="s">
        <v>35</v>
      </c>
      <c r="C60">
        <v>33.159999999999997</v>
      </c>
      <c r="D60" t="s">
        <v>17</v>
      </c>
      <c r="E60" s="7" t="s">
        <v>75</v>
      </c>
    </row>
    <row r="61" spans="1:5" x14ac:dyDescent="0.35">
      <c r="A61" t="s">
        <v>62</v>
      </c>
      <c r="B61" t="s">
        <v>35</v>
      </c>
      <c r="C61">
        <v>6.96</v>
      </c>
      <c r="D61" t="s">
        <v>17</v>
      </c>
      <c r="E61" s="7" t="s">
        <v>75</v>
      </c>
    </row>
    <row r="62" spans="1:5" x14ac:dyDescent="0.35">
      <c r="A62" t="s">
        <v>63</v>
      </c>
      <c r="B62" t="s">
        <v>35</v>
      </c>
      <c r="C62">
        <v>4.07</v>
      </c>
      <c r="D62" t="s">
        <v>17</v>
      </c>
      <c r="E62" s="7" t="s">
        <v>75</v>
      </c>
    </row>
    <row r="63" spans="1:5" x14ac:dyDescent="0.35">
      <c r="A63" t="s">
        <v>64</v>
      </c>
      <c r="B63" t="s">
        <v>35</v>
      </c>
      <c r="C63">
        <v>7.35</v>
      </c>
      <c r="D63" t="s">
        <v>17</v>
      </c>
      <c r="E63" s="7" t="s">
        <v>75</v>
      </c>
    </row>
    <row r="64" spans="1:5" x14ac:dyDescent="0.35">
      <c r="A64" t="s">
        <v>65</v>
      </c>
      <c r="B64" t="s">
        <v>35</v>
      </c>
      <c r="C64">
        <v>13.79</v>
      </c>
      <c r="D64" t="s">
        <v>66</v>
      </c>
      <c r="E64" s="7" t="s">
        <v>75</v>
      </c>
    </row>
    <row r="65" spans="1:5" x14ac:dyDescent="0.35">
      <c r="A65" t="s">
        <v>67</v>
      </c>
      <c r="B65" t="s">
        <v>35</v>
      </c>
      <c r="C65">
        <v>269.64999999999998</v>
      </c>
      <c r="D65" t="s">
        <v>17</v>
      </c>
      <c r="E65" s="7" t="s">
        <v>75</v>
      </c>
    </row>
    <row r="66" spans="1:5" x14ac:dyDescent="0.35">
      <c r="A66" t="s">
        <v>68</v>
      </c>
      <c r="B66" t="s">
        <v>35</v>
      </c>
      <c r="C66">
        <v>1174.47</v>
      </c>
      <c r="D66" t="s">
        <v>66</v>
      </c>
      <c r="E66" s="7" t="s">
        <v>75</v>
      </c>
    </row>
    <row r="67" spans="1:5" x14ac:dyDescent="0.35">
      <c r="A67" t="s">
        <v>69</v>
      </c>
      <c r="B67" t="s">
        <v>35</v>
      </c>
      <c r="C67">
        <v>33.6</v>
      </c>
      <c r="D67" t="s">
        <v>17</v>
      </c>
      <c r="E67" s="7" t="s">
        <v>75</v>
      </c>
    </row>
    <row r="68" spans="1:5" x14ac:dyDescent="0.35">
      <c r="A68" t="s">
        <v>70</v>
      </c>
      <c r="B68" t="s">
        <v>35</v>
      </c>
      <c r="C68">
        <v>28.74</v>
      </c>
      <c r="D68" t="s">
        <v>17</v>
      </c>
      <c r="E68" s="7" t="s">
        <v>75</v>
      </c>
    </row>
    <row r="69" spans="1:5" x14ac:dyDescent="0.35">
      <c r="A69" t="s">
        <v>71</v>
      </c>
      <c r="B69" t="s">
        <v>35</v>
      </c>
      <c r="C69">
        <v>16.670000000000002</v>
      </c>
      <c r="D69" t="s">
        <v>66</v>
      </c>
      <c r="E69" s="7" t="s">
        <v>75</v>
      </c>
    </row>
    <row r="70" spans="1:5" x14ac:dyDescent="0.35">
      <c r="A70" t="s">
        <v>72</v>
      </c>
      <c r="B70" t="s">
        <v>35</v>
      </c>
      <c r="C70">
        <v>686.37</v>
      </c>
      <c r="D70" t="s">
        <v>66</v>
      </c>
      <c r="E70" s="7" t="s">
        <v>75</v>
      </c>
    </row>
  </sheetData>
  <conditionalFormatting sqref="H4:H21">
    <cfRule type="cellIs" dxfId="3" priority="1" operator="greaterThan">
      <formula>1.01</formula>
    </cfRule>
    <cfRule type="cellIs" dxfId="2" priority="2" operator="greaterThan">
      <formula>101</formula>
    </cfRule>
  </conditionalFormatting>
  <conditionalFormatting sqref="I4:I9 I18:I21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21F34-CFFF-4B53-B52B-7C816692F7AD}">
  <dimension ref="A1:M40"/>
  <sheetViews>
    <sheetView tabSelected="1" workbookViewId="0">
      <selection activeCell="J20" sqref="J20"/>
    </sheetView>
  </sheetViews>
  <sheetFormatPr defaultColWidth="8.81640625" defaultRowHeight="14.5" x14ac:dyDescent="0.35"/>
  <cols>
    <col min="1" max="1" width="49.1796875" bestFit="1" customWidth="1"/>
    <col min="2" max="2" width="25.1796875" bestFit="1" customWidth="1"/>
    <col min="5" max="5" width="23.81640625" bestFit="1" customWidth="1"/>
    <col min="6" max="6" width="8.36328125" customWidth="1"/>
    <col min="7" max="8" width="22.26953125" customWidth="1"/>
    <col min="9" max="9" width="25.26953125" bestFit="1" customWidth="1"/>
    <col min="10" max="10" width="25.1796875" bestFit="1" customWidth="1"/>
    <col min="12" max="12" width="15.7265625" customWidth="1"/>
    <col min="13" max="13" width="49.1796875" bestFit="1" customWidth="1"/>
    <col min="16" max="16" width="11.81640625" bestFit="1" customWidth="1"/>
  </cols>
  <sheetData>
    <row r="1" spans="1:13" x14ac:dyDescent="0.35">
      <c r="A1" t="s">
        <v>27</v>
      </c>
    </row>
    <row r="3" spans="1:13" x14ac:dyDescent="0.35">
      <c r="A3" t="s">
        <v>0</v>
      </c>
      <c r="B3" t="s">
        <v>1</v>
      </c>
      <c r="C3" t="s">
        <v>29</v>
      </c>
      <c r="D3" t="s">
        <v>2</v>
      </c>
      <c r="E3" t="s">
        <v>173</v>
      </c>
      <c r="F3" t="s">
        <v>172</v>
      </c>
      <c r="G3" t="s">
        <v>84</v>
      </c>
      <c r="H3" t="s">
        <v>128</v>
      </c>
      <c r="K3" t="s">
        <v>110</v>
      </c>
    </row>
    <row r="4" spans="1:13" x14ac:dyDescent="0.35">
      <c r="A4" t="s">
        <v>3</v>
      </c>
      <c r="B4" s="17"/>
      <c r="C4">
        <v>9363</v>
      </c>
      <c r="G4" s="10">
        <f>ROUND(GEOMEAN(G6:G10)*$K$5,0)</f>
        <v>9345</v>
      </c>
      <c r="H4" s="9">
        <f t="shared" ref="H4:H15" si="0">MAX(C4,G4)/MIN(C4,G4)</f>
        <v>1.0019261637239165</v>
      </c>
      <c r="I4" s="21"/>
      <c r="M4" s="3"/>
    </row>
    <row r="5" spans="1:13" x14ac:dyDescent="0.35">
      <c r="A5" t="s">
        <v>4</v>
      </c>
      <c r="B5" s="17"/>
      <c r="C5">
        <v>7094</v>
      </c>
      <c r="G5" s="10">
        <f>ROUND(GEOMEAN(G11:G15)*K5,0)</f>
        <v>7101</v>
      </c>
      <c r="H5" s="9">
        <f t="shared" si="0"/>
        <v>1.0009867493656612</v>
      </c>
      <c r="I5" s="21"/>
      <c r="J5" t="s">
        <v>129</v>
      </c>
      <c r="K5">
        <v>100</v>
      </c>
      <c r="M5" s="3"/>
    </row>
    <row r="6" spans="1:13" ht="15" customHeight="1" x14ac:dyDescent="0.35">
      <c r="A6" t="s">
        <v>221</v>
      </c>
      <c r="B6" s="17" t="s">
        <v>222</v>
      </c>
      <c r="C6">
        <v>108</v>
      </c>
      <c r="D6" s="1"/>
      <c r="G6" s="12">
        <f>ROUND(GEOMEAN(F16)*K6,0)</f>
        <v>108</v>
      </c>
      <c r="H6" s="9">
        <f t="shared" si="0"/>
        <v>1</v>
      </c>
      <c r="I6" s="21"/>
      <c r="J6" t="s">
        <v>222</v>
      </c>
      <c r="K6" s="2">
        <v>30000</v>
      </c>
      <c r="M6" s="3"/>
    </row>
    <row r="7" spans="1:13" ht="15" customHeight="1" x14ac:dyDescent="0.35">
      <c r="A7" t="s">
        <v>223</v>
      </c>
      <c r="B7" s="17" t="s">
        <v>224</v>
      </c>
      <c r="C7">
        <v>142</v>
      </c>
      <c r="D7" s="1"/>
      <c r="G7" s="12">
        <f>ROUND(GEOMEAN(GEOMEAN(C17:C18),GEOMEAN(C20:C21))*K7,0)</f>
        <v>142</v>
      </c>
      <c r="H7" s="9">
        <f t="shared" si="0"/>
        <v>1</v>
      </c>
      <c r="I7" s="21"/>
      <c r="J7" t="s">
        <v>224</v>
      </c>
      <c r="K7" s="2">
        <v>3</v>
      </c>
      <c r="M7" s="3"/>
    </row>
    <row r="8" spans="1:13" ht="15" customHeight="1" x14ac:dyDescent="0.35">
      <c r="A8" t="s">
        <v>225</v>
      </c>
      <c r="B8" s="17" t="s">
        <v>226</v>
      </c>
      <c r="C8">
        <v>83</v>
      </c>
      <c r="D8" s="1"/>
      <c r="G8" s="12">
        <f>ROUND(GEOMEAN(F23,F28)*K8,0)</f>
        <v>83</v>
      </c>
      <c r="H8" s="9">
        <f t="shared" si="0"/>
        <v>1</v>
      </c>
      <c r="I8" s="21"/>
      <c r="J8" t="s">
        <v>226</v>
      </c>
      <c r="K8" s="2">
        <v>6500</v>
      </c>
      <c r="M8" s="3"/>
    </row>
    <row r="9" spans="1:13" x14ac:dyDescent="0.35">
      <c r="A9" t="s">
        <v>227</v>
      </c>
      <c r="B9" s="17" t="s">
        <v>228</v>
      </c>
      <c r="C9">
        <v>70.3</v>
      </c>
      <c r="G9" s="12">
        <f>ROUND(GEOMEAN(C24,C29)*K9,0)</f>
        <v>70</v>
      </c>
      <c r="H9" s="9">
        <f t="shared" si="0"/>
        <v>1.0042857142857142</v>
      </c>
      <c r="I9" s="21"/>
      <c r="J9" t="s">
        <v>228</v>
      </c>
      <c r="K9" s="2">
        <v>7.5</v>
      </c>
      <c r="M9" s="3"/>
    </row>
    <row r="10" spans="1:13" ht="15" customHeight="1" x14ac:dyDescent="0.35">
      <c r="A10" t="s">
        <v>229</v>
      </c>
      <c r="B10" s="17" t="s">
        <v>230</v>
      </c>
      <c r="C10">
        <v>80.2</v>
      </c>
      <c r="G10" s="12">
        <f>ROUND(GEOMEAN(C26,C31)*K10,0)</f>
        <v>80</v>
      </c>
      <c r="H10" s="9">
        <f t="shared" si="0"/>
        <v>1.0024999999999999</v>
      </c>
      <c r="I10" s="21"/>
      <c r="J10" t="s">
        <v>230</v>
      </c>
      <c r="K10" s="2">
        <v>3.5</v>
      </c>
      <c r="M10" s="3"/>
    </row>
    <row r="11" spans="1:13" ht="15" customHeight="1" x14ac:dyDescent="0.35">
      <c r="A11" t="s">
        <v>231</v>
      </c>
      <c r="B11" s="17" t="s">
        <v>222</v>
      </c>
      <c r="C11">
        <v>108</v>
      </c>
      <c r="G11" s="12">
        <f>ROUND(GEOMEAN(F16)*K6,0)</f>
        <v>108</v>
      </c>
      <c r="H11" s="9">
        <f t="shared" si="0"/>
        <v>1</v>
      </c>
      <c r="I11" s="21"/>
    </row>
    <row r="12" spans="1:13" ht="15" customHeight="1" x14ac:dyDescent="0.35">
      <c r="A12" t="s">
        <v>232</v>
      </c>
      <c r="B12" s="17" t="s">
        <v>224</v>
      </c>
      <c r="C12">
        <v>131</v>
      </c>
      <c r="G12" s="12">
        <f>ROUND(GEOMEAN(GEOMEAN(C17:C19),GEOMEAN(C20:C22))*K7,0)</f>
        <v>131</v>
      </c>
      <c r="H12" s="9">
        <f t="shared" si="0"/>
        <v>1</v>
      </c>
      <c r="I12" s="21"/>
    </row>
    <row r="13" spans="1:13" ht="15" customHeight="1" x14ac:dyDescent="0.35">
      <c r="A13" t="s">
        <v>233</v>
      </c>
      <c r="B13" s="17" t="s">
        <v>226</v>
      </c>
      <c r="C13">
        <v>135</v>
      </c>
      <c r="G13" s="12">
        <f>ROUND(GEOMEAN(F23,F28,F33,F38)*K8,0)</f>
        <v>135</v>
      </c>
      <c r="H13" s="9">
        <f t="shared" si="0"/>
        <v>1</v>
      </c>
      <c r="I13" s="21"/>
    </row>
    <row r="14" spans="1:13" x14ac:dyDescent="0.35">
      <c r="A14" t="s">
        <v>234</v>
      </c>
      <c r="B14" s="17" t="s">
        <v>228</v>
      </c>
      <c r="C14">
        <v>21</v>
      </c>
      <c r="G14" s="12">
        <f>ROUND(GEOMEAN(GEOMEAN(C24,C29),GEOMEAN(C25,C30,C34,C35))*K9,0)</f>
        <v>21</v>
      </c>
      <c r="H14" s="9">
        <f t="shared" si="0"/>
        <v>1</v>
      </c>
      <c r="I14" s="21"/>
    </row>
    <row r="15" spans="1:13" ht="15" customHeight="1" x14ac:dyDescent="0.35">
      <c r="A15" t="s">
        <v>235</v>
      </c>
      <c r="B15" s="17" t="s">
        <v>230</v>
      </c>
      <c r="C15">
        <v>44.8</v>
      </c>
      <c r="G15" s="12">
        <f>ROUND(GEOMEAN(GEOMEAN(C26,C31,C36,C39),GEOMEAN(C27,C32,C37,C40))*K10,0)</f>
        <v>45</v>
      </c>
      <c r="H15" s="9">
        <f t="shared" si="0"/>
        <v>1.0044642857142858</v>
      </c>
      <c r="I15" s="21"/>
    </row>
    <row r="16" spans="1:13" x14ac:dyDescent="0.35">
      <c r="A16" t="s">
        <v>236</v>
      </c>
      <c r="B16" s="22" t="s">
        <v>222</v>
      </c>
      <c r="C16">
        <v>276.56</v>
      </c>
      <c r="D16" t="s">
        <v>111</v>
      </c>
      <c r="E16" s="5" t="s">
        <v>73</v>
      </c>
      <c r="F16" s="8">
        <f>1/C16</f>
        <v>3.615851894706393E-3</v>
      </c>
      <c r="M16" s="4"/>
    </row>
    <row r="17" spans="1:9" x14ac:dyDescent="0.35">
      <c r="A17" t="s">
        <v>249</v>
      </c>
      <c r="B17" s="22" t="s">
        <v>224</v>
      </c>
      <c r="C17">
        <v>25.05</v>
      </c>
      <c r="D17" t="s">
        <v>17</v>
      </c>
      <c r="E17" s="5" t="s">
        <v>73</v>
      </c>
      <c r="I17" s="9"/>
    </row>
    <row r="18" spans="1:9" x14ac:dyDescent="0.35">
      <c r="A18" t="s">
        <v>250</v>
      </c>
      <c r="B18" s="22" t="s">
        <v>224</v>
      </c>
      <c r="C18">
        <v>37.51</v>
      </c>
      <c r="D18" t="s">
        <v>17</v>
      </c>
      <c r="E18" s="5" t="s">
        <v>73</v>
      </c>
      <c r="I18" s="9"/>
    </row>
    <row r="19" spans="1:9" x14ac:dyDescent="0.35">
      <c r="A19" t="s">
        <v>251</v>
      </c>
      <c r="B19" s="19" t="s">
        <v>224</v>
      </c>
      <c r="C19">
        <v>66.12</v>
      </c>
      <c r="D19" t="s">
        <v>17</v>
      </c>
      <c r="E19" s="7" t="s">
        <v>75</v>
      </c>
      <c r="I19" s="9"/>
    </row>
    <row r="20" spans="1:9" x14ac:dyDescent="0.35">
      <c r="A20" t="s">
        <v>252</v>
      </c>
      <c r="B20" s="22" t="s">
        <v>224</v>
      </c>
      <c r="C20">
        <v>55.72</v>
      </c>
      <c r="D20" t="s">
        <v>17</v>
      </c>
      <c r="E20" s="5" t="s">
        <v>73</v>
      </c>
      <c r="I20" s="9"/>
    </row>
    <row r="21" spans="1:9" x14ac:dyDescent="0.35">
      <c r="A21" t="s">
        <v>253</v>
      </c>
      <c r="B21" s="22" t="s">
        <v>224</v>
      </c>
      <c r="C21">
        <v>95.4</v>
      </c>
      <c r="D21" t="s">
        <v>17</v>
      </c>
      <c r="E21" s="5" t="s">
        <v>73</v>
      </c>
    </row>
    <row r="22" spans="1:9" x14ac:dyDescent="0.35">
      <c r="A22" t="s">
        <v>254</v>
      </c>
      <c r="B22" s="19" t="s">
        <v>224</v>
      </c>
      <c r="C22">
        <v>20.77</v>
      </c>
      <c r="D22" t="s">
        <v>17</v>
      </c>
      <c r="E22" s="7" t="s">
        <v>75</v>
      </c>
    </row>
    <row r="23" spans="1:9" x14ac:dyDescent="0.35">
      <c r="A23" t="s">
        <v>237</v>
      </c>
      <c r="B23" s="22" t="s">
        <v>226</v>
      </c>
      <c r="C23">
        <v>97.34</v>
      </c>
      <c r="D23" t="s">
        <v>111</v>
      </c>
      <c r="E23" s="5" t="s">
        <v>73</v>
      </c>
      <c r="F23" s="8">
        <f>1/C23</f>
        <v>1.027326895418122E-2</v>
      </c>
    </row>
    <row r="24" spans="1:9" x14ac:dyDescent="0.35">
      <c r="A24" t="s">
        <v>255</v>
      </c>
      <c r="B24" s="22" t="s">
        <v>228</v>
      </c>
      <c r="C24">
        <v>14.64</v>
      </c>
      <c r="D24" t="s">
        <v>17</v>
      </c>
      <c r="E24" s="5" t="s">
        <v>73</v>
      </c>
    </row>
    <row r="25" spans="1:9" x14ac:dyDescent="0.35">
      <c r="A25" t="s">
        <v>256</v>
      </c>
      <c r="B25" s="19" t="s">
        <v>228</v>
      </c>
      <c r="C25">
        <v>2.31</v>
      </c>
      <c r="D25" t="s">
        <v>17</v>
      </c>
      <c r="E25" s="7" t="s">
        <v>75</v>
      </c>
    </row>
    <row r="26" spans="1:9" x14ac:dyDescent="0.35">
      <c r="A26" t="s">
        <v>238</v>
      </c>
      <c r="B26" s="22" t="s">
        <v>230</v>
      </c>
      <c r="C26">
        <v>43.14</v>
      </c>
      <c r="D26" t="s">
        <v>17</v>
      </c>
      <c r="E26" s="5" t="s">
        <v>73</v>
      </c>
    </row>
    <row r="27" spans="1:9" x14ac:dyDescent="0.35">
      <c r="A27" t="s">
        <v>239</v>
      </c>
      <c r="B27" s="19" t="s">
        <v>230</v>
      </c>
      <c r="C27">
        <v>6.52</v>
      </c>
      <c r="D27" t="s">
        <v>17</v>
      </c>
      <c r="E27" s="7" t="s">
        <v>75</v>
      </c>
    </row>
    <row r="28" spans="1:9" x14ac:dyDescent="0.35">
      <c r="A28" t="s">
        <v>240</v>
      </c>
      <c r="B28" s="22" t="s">
        <v>226</v>
      </c>
      <c r="C28">
        <v>63.08</v>
      </c>
      <c r="D28" t="s">
        <v>111</v>
      </c>
      <c r="E28" s="5" t="s">
        <v>73</v>
      </c>
      <c r="F28" s="8">
        <f>1/C28</f>
        <v>1.5852885225110972E-2</v>
      </c>
    </row>
    <row r="29" spans="1:9" x14ac:dyDescent="0.35">
      <c r="A29" t="s">
        <v>257</v>
      </c>
      <c r="B29" s="22" t="s">
        <v>228</v>
      </c>
      <c r="C29">
        <v>6</v>
      </c>
      <c r="D29" t="s">
        <v>17</v>
      </c>
      <c r="E29" s="5" t="s">
        <v>73</v>
      </c>
    </row>
    <row r="30" spans="1:9" x14ac:dyDescent="0.35">
      <c r="A30" t="s">
        <v>258</v>
      </c>
      <c r="B30" s="19" t="s">
        <v>228</v>
      </c>
      <c r="C30">
        <v>1.8</v>
      </c>
      <c r="D30" t="s">
        <v>17</v>
      </c>
      <c r="E30" s="7" t="s">
        <v>75</v>
      </c>
    </row>
    <row r="31" spans="1:9" x14ac:dyDescent="0.35">
      <c r="A31" t="s">
        <v>241</v>
      </c>
      <c r="B31" s="22" t="s">
        <v>230</v>
      </c>
      <c r="C31">
        <v>12.17</v>
      </c>
      <c r="D31" t="s">
        <v>17</v>
      </c>
      <c r="E31" s="5" t="s">
        <v>73</v>
      </c>
    </row>
    <row r="32" spans="1:9" x14ac:dyDescent="0.35">
      <c r="A32" t="s">
        <v>242</v>
      </c>
      <c r="B32" s="19" t="s">
        <v>230</v>
      </c>
      <c r="C32">
        <v>3.82</v>
      </c>
      <c r="D32" t="s">
        <v>17</v>
      </c>
      <c r="E32" s="7" t="s">
        <v>75</v>
      </c>
    </row>
    <row r="33" spans="1:6" x14ac:dyDescent="0.35">
      <c r="A33" t="s">
        <v>243</v>
      </c>
      <c r="B33" s="19" t="s">
        <v>226</v>
      </c>
      <c r="C33">
        <v>46.33</v>
      </c>
      <c r="D33" t="s">
        <v>111</v>
      </c>
      <c r="E33" s="7" t="s">
        <v>75</v>
      </c>
      <c r="F33" s="8">
        <f>1/C33</f>
        <v>2.1584286639326572E-2</v>
      </c>
    </row>
    <row r="34" spans="1:6" x14ac:dyDescent="0.35">
      <c r="A34" t="s">
        <v>259</v>
      </c>
      <c r="B34" s="19" t="s">
        <v>228</v>
      </c>
      <c r="C34">
        <v>0.57999999999999996</v>
      </c>
      <c r="D34" t="s">
        <v>17</v>
      </c>
      <c r="E34" s="7" t="s">
        <v>75</v>
      </c>
    </row>
    <row r="35" spans="1:6" x14ac:dyDescent="0.35">
      <c r="A35" t="s">
        <v>260</v>
      </c>
      <c r="B35" s="19" t="s">
        <v>228</v>
      </c>
      <c r="C35">
        <v>0.2</v>
      </c>
      <c r="D35" t="s">
        <v>17</v>
      </c>
      <c r="E35" s="7" t="s">
        <v>75</v>
      </c>
    </row>
    <row r="36" spans="1:6" x14ac:dyDescent="0.35">
      <c r="A36" t="s">
        <v>244</v>
      </c>
      <c r="B36" s="19" t="s">
        <v>230</v>
      </c>
      <c r="C36">
        <v>52.67</v>
      </c>
      <c r="D36" t="s">
        <v>17</v>
      </c>
      <c r="E36" s="7" t="s">
        <v>75</v>
      </c>
    </row>
    <row r="37" spans="1:6" x14ac:dyDescent="0.35">
      <c r="A37" t="s">
        <v>245</v>
      </c>
      <c r="B37" s="19" t="s">
        <v>230</v>
      </c>
      <c r="C37">
        <v>4.5999999999999996</v>
      </c>
      <c r="D37" t="s">
        <v>17</v>
      </c>
      <c r="E37" s="7" t="s">
        <v>75</v>
      </c>
    </row>
    <row r="38" spans="1:6" x14ac:dyDescent="0.35">
      <c r="A38" t="s">
        <v>246</v>
      </c>
      <c r="B38" s="19" t="s">
        <v>226</v>
      </c>
      <c r="C38">
        <v>18.91</v>
      </c>
      <c r="D38" t="s">
        <v>111</v>
      </c>
      <c r="E38" s="7" t="s">
        <v>75</v>
      </c>
      <c r="F38" s="8">
        <f>1/C38</f>
        <v>5.2882072977260705E-2</v>
      </c>
    </row>
    <row r="39" spans="1:6" x14ac:dyDescent="0.35">
      <c r="A39" t="s">
        <v>247</v>
      </c>
      <c r="B39" s="19" t="s">
        <v>230</v>
      </c>
      <c r="C39">
        <v>48.03</v>
      </c>
      <c r="D39" t="s">
        <v>17</v>
      </c>
      <c r="E39" s="7" t="s">
        <v>75</v>
      </c>
    </row>
    <row r="40" spans="1:6" x14ac:dyDescent="0.35">
      <c r="A40" t="s">
        <v>248</v>
      </c>
      <c r="B40" s="19" t="s">
        <v>230</v>
      </c>
      <c r="C40">
        <v>4.72</v>
      </c>
      <c r="D40" t="s">
        <v>17</v>
      </c>
      <c r="E40" s="7" t="s">
        <v>75</v>
      </c>
    </row>
  </sheetData>
  <conditionalFormatting sqref="H4:H20">
    <cfRule type="cellIs" dxfId="1" priority="1" operator="greaterThan">
      <formula>1.01</formula>
    </cfRule>
    <cfRule type="cellIs" dxfId="0" priority="2" operator="greaterThan">
      <formula>101</formula>
    </cfRule>
  </conditionalFormatting>
  <conditionalFormatting sqref="I17:I20">
    <cfRule type="colorScale" priority="2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Photoshop 1.0.0</vt:lpstr>
      <vt:lpstr>Premiere Pro 2.0.0</vt:lpstr>
      <vt:lpstr>Premiere Pro 1.0.0</vt:lpstr>
      <vt:lpstr>After Effects 1.0.0</vt:lpstr>
      <vt:lpstr>Lightroom Classic 1.0.0</vt:lpstr>
      <vt:lpstr>DaVinci Resolve 2.0.0</vt:lpstr>
      <vt:lpstr>DaVinci Resolve 1.0.0</vt:lpstr>
      <vt:lpstr>Unreal Engine 0.0.9-dev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Bach</dc:creator>
  <cp:lastModifiedBy>Matt Bach</cp:lastModifiedBy>
  <dcterms:created xsi:type="dcterms:W3CDTF">2015-06-05T18:17:20Z</dcterms:created>
  <dcterms:modified xsi:type="dcterms:W3CDTF">2026-07-14T21:39:16Z</dcterms:modified>
</cp:coreProperties>
</file>